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netorgft8120148.sharepoint.com/sites/NutrientNeutral/Shared Documents/1 - Projects/2 - ACTIVE/Bishopstone, Whitlock Rise, SP5 4AG (264)/Working/"/>
    </mc:Choice>
  </mc:AlternateContent>
  <xr:revisionPtr revIDLastSave="2" documentId="8_{875AAF63-F0A0-436E-A15F-56B425672FD3}" xr6:coauthVersionLast="47" xr6:coauthVersionMax="47" xr10:uidLastSave="{C2439664-F082-417E-B280-3854134837A8}"/>
  <workbookProtection workbookAlgorithmName="SHA-512" workbookHashValue="K0S/85i9/QRchKlWLUgkn27lFb1xXsqMqMkFMoG9vP2lwWRIICcmhKgUqDXp1Gk8jhwKlLEhsOuSRhH3Ew5OyQ==" workbookSaltValue="zooZ9+xcQ5sfGUwY0wSMUg==" workbookSpinCount="100000" lockStructure="1"/>
  <bookViews>
    <workbookView xWindow="-28920" yWindow="-120" windowWidth="29040" windowHeight="1572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8" l="1"/>
  <c r="B8" i="9"/>
  <c r="F186" i="3"/>
  <c r="C6" i="9" l="1"/>
  <c r="C7" i="9"/>
  <c r="C8" i="9"/>
  <c r="C9" i="9"/>
  <c r="C10" i="9"/>
  <c r="C11" i="9"/>
  <c r="C12" i="9"/>
  <c r="C13" i="9"/>
  <c r="C14" i="9"/>
  <c r="C15" i="9"/>
  <c r="C16" i="9"/>
  <c r="C17" i="9"/>
  <c r="C18" i="9"/>
  <c r="C19" i="9"/>
  <c r="C20" i="9"/>
  <c r="C21" i="9"/>
  <c r="C5" i="9"/>
  <c r="D11" i="8"/>
  <c r="A9" i="10" l="1"/>
  <c r="D6" i="22"/>
  <c r="G6" i="22" s="1"/>
  <c r="D7" i="22"/>
  <c r="D8" i="22"/>
  <c r="D9" i="22"/>
  <c r="D10" i="22"/>
  <c r="D11" i="22"/>
  <c r="D12" i="22"/>
  <c r="D13" i="22"/>
  <c r="D14" i="22"/>
  <c r="D15" i="22"/>
  <c r="D16" i="22"/>
  <c r="D17" i="22"/>
  <c r="D18" i="22"/>
  <c r="D19" i="22"/>
  <c r="D20" i="22"/>
  <c r="D21" i="22"/>
  <c r="D22" i="22"/>
  <c r="D23" i="22"/>
  <c r="D24" i="22"/>
  <c r="D25" i="22"/>
  <c r="D26" i="22"/>
  <c r="D27" i="22"/>
  <c r="D28" i="22"/>
  <c r="D29" i="22"/>
  <c r="D5" i="22"/>
  <c r="G5" i="22" s="1"/>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B30" i="22" l="1"/>
  <c r="H193" i="3" l="1"/>
  <c r="F193" i="3" l="1"/>
  <c r="F192" i="3"/>
  <c r="F191" i="3"/>
  <c r="F190" i="3"/>
  <c r="F189" i="3"/>
  <c r="F188" i="3"/>
  <c r="F187" i="3"/>
  <c r="B5" i="10" l="1"/>
  <c r="D30" i="22" l="1"/>
  <c r="G30" i="22"/>
  <c r="C28" i="8"/>
  <c r="B6" i="10" l="1"/>
  <c r="B7" i="10" s="1"/>
  <c r="B8" i="10" s="1"/>
  <c r="B10" i="10" s="1"/>
  <c r="B22" i="9"/>
  <c r="B28" i="8"/>
  <c r="B12" i="10" l="1"/>
  <c r="A280"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<sst xmlns="http://schemas.openxmlformats.org/spreadsheetml/2006/main" count="1111" uniqueCount="418">
  <si>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</si>
  <si>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</si>
  <si>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</si>
  <si>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</si>
  <si>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</si>
  <si>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</si>
  <si>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</si>
  <si>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</si>
  <si>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</si>
  <si>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</si>
  <si>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</si>
  <si>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</si>
  <si>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</si>
  <si>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</si>
  <si>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</si>
  <si>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</si>
  <si>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</si>
  <si>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</si>
  <si>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</si>
  <si>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</si>
  <si>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</si>
  <si>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</si>
  <si>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</si>
  <si>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</si>
  <si>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</si>
  <si>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</si>
  <si>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</si>
  <si>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</si>
  <si>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</si>
  <si>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</si>
  <si>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</si>
  <si>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</si>
  <si>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</si>
  <si>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</si>
  <si>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</si>
  <si>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</si>
  <si>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</si>
  <si>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</si>
  <si>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</si>
  <si>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</si>
  <si>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</si>
  <si>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</si>
  <si>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</si>
  <si>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</si>
  <si>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</si>
  <si>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</si>
  <si>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</si>
  <si>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</si>
  <si>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</si>
  <si>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</si>
  <si>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</si>
  <si>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</si>
  <si>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</si>
  <si>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</si>
  <si>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</si>
  <si>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</si>
  <si>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</si>
  <si>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</si>
  <si>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</si>
  <si>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</si>
  <si>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</si>
  <si>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</si>
  <si>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</si>
  <si>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</si>
  <si>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</si>
  <si>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</si>
  <si>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</si>
  <si>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</si>
  <si>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</si>
  <si>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</si>
  <si>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</si>
  <si>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</si>
  <si>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</si>
  <si>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</si>
  <si>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</si>
  <si>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</si>
  <si>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</si>
  <si>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</si>
  <si>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</si>
  <si>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</si>
  <si>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</si>
  <si>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</si>
  <si>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</si>
  <si>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</si>
  <si>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</si>
  <si>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</si>
  <si>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</si>
  <si>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</si>
  <si>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</si>
  <si>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</si>
  <si>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</si>
  <si>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</si>
  <si>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</si>
  <si>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</si>
  <si>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</si>
  <si>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</si>
  <si>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</si>
  <si>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</si>
  <si>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</si>
  <si>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</si>
  <si>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</si>
  <si>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</si>
  <si>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</si>
  <si>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</si>
  <si>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</si>
  <si>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</si>
  <si>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</si>
  <si>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</si>
  <si>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</si>
  <si>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</si>
  <si>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</si>
  <si>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</si>
  <si>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</si>
  <si>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</si>
  <si>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</si>
  <si>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</si>
  <si>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</si>
  <si>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</si>
  <si>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</si>
  <si>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</si>
  <si>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</si>
  <si>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</si>
  <si>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</si>
  <si>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</si>
  <si>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</si>
  <si>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</si>
  <si>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</si>
  <si>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</si>
  <si>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</si>
  <si>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</si>
  <si>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</si>
  <si>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</si>
  <si>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</si>
  <si>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</si>
  <si>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</si>
  <si>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</si>
  <si>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</si>
  <si>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</si>
  <si>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</si>
  <si>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</si>
  <si>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</si>
  <si>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</si>
  <si>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</si>
  <si>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</si>
  <si>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</si>
  <si>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</si>
  <si>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</si>
  <si>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</si>
  <si>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</si>
  <si>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</si>
  <si>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</si>
  <si>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</si>
  <si>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</si>
  <si>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</si>
  <si>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</si>
  <si>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</si>
  <si>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</si>
  <si>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</si>
  <si>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</si>
  <si>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</si>
  <si>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</si>
  <si>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</si>
  <si>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</si>
  <si>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</si>
  <si>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</si>
  <si>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</si>
  <si>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</si>
  <si>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</si>
  <si>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</si>
  <si>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</si>
  <si>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</si>
  <si>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</si>
  <si>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</si>
  <si>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</si>
  <si>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</si>
  <si>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</si>
  <si>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</si>
  <si>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</si>
  <si>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</si>
  <si>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</si>
  <si>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</si>
  <si>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</si>
  <si>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</si>
  <si>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</si>
  <si>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</si>
  <si>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</si>
  <si>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</si>
  <si>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</si>
  <si>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</si>
  <si>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</si>
  <si>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</si>
  <si>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</si>
  <si>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</si>
  <si>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</si>
  <si>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</si>
  <si>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</si>
  <si>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</si>
  <si>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</si>
  <si>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</si>
  <si>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</si>
  <si>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</si>
  <si>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</si>
  <si>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</si>
  <si>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</si>
  <si>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</si>
  <si>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</si>
  <si>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</si>
  <si>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</si>
  <si>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</si>
  <si>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</si>
  <si>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</si>
  <si>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</si>
  <si>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</si>
  <si>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</si>
  <si>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</si>
  <si>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</si>
  <si>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</si>
  <si>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</si>
  <si>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</si>
  <si>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</si>
  <si>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</si>
  <si>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</si>
  <si>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</si>
  <si>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</si>
  <si>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</si>
  <si>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</si>
  <si>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</si>
  <si>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</si>
  <si>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</si>
  <si>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</si>
  <si>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</si>
  <si>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</si>
  <si>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</si>
  <si>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</si>
  <si>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</si>
  <si>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</si>
  <si>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</si>
  <si>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</si>
  <si>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</si>
  <si>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</si>
  <si>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</si>
  <si>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</si>
  <si>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</si>
  <si>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</si>
  <si>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</si>
  <si>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</si>
  <si>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</si>
  <si>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</si>
  <si>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</si>
  <si>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</si>
  <si>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</si>
  <si>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</si>
  <si>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</si>
  <si>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</si>
  <si>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</si>
  <si>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</si>
  <si>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</si>
  <si>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</si>
  <si>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</si>
  <si>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</si>
  <si>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</si>
  <si>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</si>
  <si>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</si>
  <si>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</si>
  <si>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</si>
  <si>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</si>
  <si>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</si>
  <si>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</si>
  <si>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</si>
  <si>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</si>
  <si>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</si>
  <si>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</si>
  <si>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</si>
  <si>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</si>
  <si>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</si>
  <si>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</si>
  <si>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</si>
  <si>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</si>
  <si>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</si>
  <si>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</si>
  <si>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</si>
  <si>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</si>
  <si>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</si>
  <si>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</si>
  <si>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</si>
  <si>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</si>
  <si>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</si>
  <si>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</si>
  <si>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</si>
  <si>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</si>
  <si>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</si>
  <si>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</si>
  <si>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</si>
  <si>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</si>
  <si>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</si>
  <si>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</si>
  <si>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</si>
  <si>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</si>
  <si>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</si>
  <si>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</si>
  <si>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</si>
  <si>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</si>
  <si>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</si>
  <si>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</si>
  <si>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</si>
  <si>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</si>
  <si>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</si>
  <si>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</si>
  <si>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</si>
  <si>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</si>
  <si>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</si>
  <si>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</si>
  <si>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</si>
  <si>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</si>
  <si>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</si>
  <si>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</si>
  <si>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</si>
  <si>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</si>
  <si>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</si>
  <si>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</si>
  <si>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</si>
  <si>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</si>
  <si>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</si>
  <si>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</si>
  <si>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</si>
  <si>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</si>
  <si>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</si>
  <si>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</si>
  <si>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</si>
  <si>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</si>
  <si>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</si>
  <si>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</si>
  <si>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</si>
  <si>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</si>
  <si>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</si>
  <si>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</si>
  <si>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</si>
  <si>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</si>
  <si>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</si>
  <si>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</si>
  <si>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</si>
  <si>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</si>
  <si>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</si>
  <si>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</si>
  <si>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</si>
  <si>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</si>
  <si>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</si>
  <si>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</si>
  <si>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</si>
  <si>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</si>
  <si>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</si>
  <si>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</si>
  <si>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</si>
  <si>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</si>
  <si>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</si>
  <si>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</si>
  <si>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</si>
  <si>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</si>
  <si>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</si>
  <si>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</si>
  <si>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</si>
  <si>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</si>
  <si>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</si>
  <si>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</si>
  <si>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</si>
  <si>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</si>
  <si>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</si>
  <si>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</si>
  <si>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</si>
  <si>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</si>
  <si>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</si>
  <si>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</si>
  <si>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</si>
  <si>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</si>
  <si>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</si>
  <si>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</si>
  <si>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</si>
  <si>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</si>
  <si>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</si>
  <si>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</si>
  <si>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</si>
  <si>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</si>
  <si>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</si>
  <si>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</si>
  <si>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</si>
  <si>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</si>
  <si>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</si>
  <si>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</si>
  <si>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</si>
  <si>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</si>
  <si>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</si>
  <si>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</si>
  <si>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</si>
  <si>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</si>
  <si>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</si>
  <si>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</si>
  <si>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</si>
  <si>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</si>
  <si>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</si>
  <si>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</si>
  <si>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</si>
  <si>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</si>
  <si>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</si>
  <si>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</si>
  <si>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</si>
  <si>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</si>
  <si>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</si>
  <si>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</si>
  <si>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</si>
  <si>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</si>
  <si>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</si>
  <si>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</si>
  <si>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</si>
  <si>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</si>
  <si>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</si>
  <si>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</si>
  <si>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</si>
  <si>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MRM method and 100% reduction applied to calculated export  on the basis that  flows will infiltrate to ground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</si>
</sst>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49"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E22"/>
  <sheetViews>
    <sheetView topLeftCell="A4" zoomScaleNormal="100" workbookViewId="0">
      <selection activeCell="C17" sqref="C17"/>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9</v>
      </c>
      <c r="C8" s="19"/>
    </row>
    <row r="9" spans="1:5" ht="39.6" customHeight="1" x14ac:dyDescent="0.25">
      <c r="A9" s="18" t="s">
        <v>72</v>
      </c>
      <c r="B9" s="31" t="s">
        <v>163</v>
      </c>
      <c r="C9" s="19"/>
    </row>
    <row r="10" spans="1:5" ht="24.6" customHeight="1" x14ac:dyDescent="0.25">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0.6</v>
      </c>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21.599999999999998</v>
      </c>
    </row>
    <row r="17" spans="1:2" ht="23.25" customHeight="1" x14ac:dyDescent="0.25">
      <c r="A17" s="26" t="s">
        <v>79</v>
      </c>
      <c r="B17" s="42">
        <f>IFERROR(B16*B7,0)</f>
        <v>2591.9999999999995</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0.56999999999999995</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scale="49"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7" zoomScaleNormal="100" workbookViewId="0">
      <selection activeCell="D16" sqref="D16"/>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378</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250</v>
      </c>
      <c r="B11" s="30">
        <v>0.79</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9.3044328835394263E-2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t="s">
        <v>350</v>
      </c>
      <c r="B12" s="30">
        <v>0.21</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0.28450227266999983</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t="s">
        <v>344</v>
      </c>
      <c r="B13" s="30">
        <f>0.26-B12</f>
        <v>5.0000000000000017E-2</v>
      </c>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1.0000000000000005E-3</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t="s">
        <v>250</v>
      </c>
      <c r="B14" s="30">
        <v>0.24</v>
      </c>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2.8266631544929904E-2</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1.29</v>
      </c>
      <c r="C28" s="42">
        <f>SUM(C11:C27)</f>
        <v>0.40681323305032402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scale="32"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sheetPr>
    <pageSetUpPr fitToPage="1"/>
  </sheetPr>
  <dimension ref="A1:E22"/>
  <sheetViews>
    <sheetView topLeftCell="A2" zoomScaleNormal="100" workbookViewId="0">
      <selection activeCell="B17" sqref="B17"/>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0.63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1.1664593179469993</v>
      </c>
    </row>
    <row r="6" spans="1:3" ht="23.25" customHeight="1" x14ac:dyDescent="0.2">
      <c r="A6" s="62" t="s">
        <v>344</v>
      </c>
      <c r="B6" s="63">
        <v>0.42</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8.3999999999999995E-3</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t="s">
        <v>344</v>
      </c>
      <c r="B8" s="63">
        <f>Nutrients_from_current_land_use!B14</f>
        <v>0.24</v>
      </c>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4.7999999999999996E-3</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1.29</v>
      </c>
      <c r="C22" s="56">
        <f>SUM(C5:C21)</f>
        <v>1.1796593179469992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scale="53"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sheetPr>
    <pageSetUpPr fitToPage="1"/>
  </sheetPr>
  <dimension ref="A1:K30"/>
  <sheetViews>
    <sheetView tabSelected="1" topLeftCell="A2" zoomScaleNormal="100" workbookViewId="0">
      <selection activeCell="E11" sqref="E11"/>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0.63</v>
      </c>
      <c r="C5" s="70">
        <v>100</v>
      </c>
      <c r="D5" s="50">
        <f>IFERROR(IF(ISBLANK(A5),0,IF(ISBLANK(B5),0,VLOOKUP(A5,Nutrients_from_future_land_use!$A$5:$C$21,3,FALSE)*(B5/VLOOKUP(A5,Nutrients_from_future_land_use!$A$5:$C$21,2,FALSE)))),0)</f>
        <v>1.1664593179469993</v>
      </c>
      <c r="E5" s="70" t="s">
        <v>417</v>
      </c>
      <c r="F5" s="70">
        <v>100</v>
      </c>
      <c r="G5" s="50">
        <f>IFERROR(IF(OR(ISBLANK($A5),ISBLANK($B5),ISBLANK($F5)),0,$C5/100*D5*F5/100),0)</f>
        <v>1.1664593179469993</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0.63</v>
      </c>
      <c r="C30" s="71"/>
      <c r="D30" s="68">
        <f t="shared" ref="D30" si="1">SUM(D5:D29)</f>
        <v>1.1664593179469993</v>
      </c>
      <c r="E30" s="72"/>
      <c r="F30" s="72"/>
      <c r="G30" s="56">
        <f>SUM(G5:G29)</f>
        <v>1.1664593179469993</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scale="2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opLeftCell="A3" zoomScaleNormal="100" workbookViewId="0">
      <selection activeCell="B6" sqref="B6"/>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0.56999999999999995</v>
      </c>
    </row>
    <row r="6" spans="1:4" ht="24.75" customHeight="1" x14ac:dyDescent="0.25">
      <c r="A6" s="18" t="s">
        <v>111</v>
      </c>
      <c r="B6" s="78">
        <f>IFERROR(Nutrients_from_future_land_use!C22-SuDS!G30-Nutrients_from_current_land_use!C28,0)</f>
        <v>-0.39361323305032414</v>
      </c>
    </row>
    <row r="7" spans="1:4" ht="24.75" customHeight="1" x14ac:dyDescent="0.25">
      <c r="A7" s="18" t="s">
        <v>112</v>
      </c>
      <c r="B7" s="78">
        <f>IFERROR(B5+B6,0)</f>
        <v>0.17638676694967581</v>
      </c>
    </row>
    <row r="8" spans="1:4" ht="24.75" customHeight="1" x14ac:dyDescent="0.25">
      <c r="A8" s="18" t="s">
        <v>113</v>
      </c>
      <c r="B8" s="78">
        <f>IFERROR(IF(B7&lt;0,B7,B7*1.2),0)</f>
        <v>0.21166412033961096</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0.21</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scale="68"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1"/>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1.3547727269999992</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0.99349999979999948</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A281">_xlfn._xlws.SORT(_xlfn.UNIQUE(_xlfn._xlws.FILTER(Nutrients_from_future_land_use!$A$5:$A$21,Nutrients_from_future_land_use!$A$5:$A$21&lt;&gt;"")))</f>
        <v>Greenspace</v>
      </c>
    </row>
    <row r="281" spans="1:1" x14ac:dyDescent="0.2">
      <c r="A281"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93D36E60DFD446BE1B508D86A3E482" ma:contentTypeVersion="14" ma:contentTypeDescription="Create a new document." ma:contentTypeScope="" ma:versionID="f841d716aff073f1565b1affccbeb840">
  <xsd:schema xmlns:xsd="http://www.w3.org/2001/XMLSchema" xmlns:xs="http://www.w3.org/2001/XMLSchema" xmlns:p="http://schemas.microsoft.com/office/2006/metadata/properties" xmlns:ns2="b3a99d4e-4e6e-4029-aaf4-a921f1d5896b" xmlns:ns3="d7a6443d-4bd4-4087-b99d-eadc8996028e" targetNamespace="http://schemas.microsoft.com/office/2006/metadata/properties" ma:root="true" ma:fieldsID="23daba6ab2306973c47b6bfd4d8f3e80" ns2:_="" ns3:_="">
    <xsd:import namespace="b3a99d4e-4e6e-4029-aaf4-a921f1d5896b"/>
    <xsd:import namespace="d7a6443d-4bd4-4087-b99d-eadc899602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a99d4e-4e6e-4029-aaf4-a921f1d589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cdd252c-fc07-4e72-a9e8-915c83b95d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6443d-4bd4-4087-b99d-eadc8996028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0dccaf7-73ce-4acb-bba9-6ec89d5b7e20}" ma:internalName="TaxCatchAll" ma:showField="CatchAllData" ma:web="d7a6443d-4bd4-4087-b99d-eadc899602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d7a6443d-4bd4-4087-b99d-eadc8996028e" xsi:nil="true"/>
    <lcf76f155ced4ddcb4097134ff3c332f xmlns="b3a99d4e-4e6e-4029-aaf4-a921f1d5896b">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BFB160-C61C-4F95-9FCC-C3B2A2EE8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a99d4e-4e6e-4029-aaf4-a921f1d5896b"/>
    <ds:schemaRef ds:uri="d7a6443d-4bd4-4087-b99d-eadc89960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d7a6443d-4bd4-4087-b99d-eadc8996028e"/>
    <ds:schemaRef ds:uri="b3a99d4e-4e6e-4029-aaf4-a921f1d5896b"/>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Belton</dc:creator>
  <cp:keywords/>
  <dc:description/>
  <cp:lastModifiedBy>Sam Gillson</cp:lastModifiedBy>
  <cp:revision/>
  <cp:lastPrinted>2026-02-03T16:40:53Z</cp:lastPrinted>
  <dcterms:created xsi:type="dcterms:W3CDTF">2021-10-14T13:24:34Z</dcterms:created>
  <dcterms:modified xsi:type="dcterms:W3CDTF">2026-09-23T16:32:02Z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0x010100ED93D36E60DFD446BE1B508D86A3E482</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