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d.docs.live.net/af76dbcd9d26c733/Documents/Home/VH Committee/VH Green/Wiltshire planning/docs for submission/"/>
    </mc:Choice>
  </mc:AlternateContent>
  <xr:revisionPtr revIDLastSave="0" documentId="8_{8BA1B69E-E6C4-43A0-BBBC-4B8F752B5605}"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720" yWindow="690" windowWidth="21600" windowHeight="11385" tabRatio="730" activeTab="2"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E99" i="1"/>
  <c r="D99" i="1"/>
  <c r="P50" i="4"/>
  <c r="E6" i="10"/>
  <c r="D6" i="10"/>
  <c r="D7" i="10" s="1"/>
  <c r="B9" i="10"/>
  <c r="D9" i="10" s="1"/>
  <c r="L98" i="1" l="1"/>
  <c r="I98" i="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L67" i="22" l="1"/>
  <c r="AQ67" i="22"/>
  <c r="AR67" i="22" s="1"/>
  <c r="AS67" i="22"/>
  <c r="AT67" i="22" s="1"/>
  <c r="L68" i="22"/>
  <c r="AQ68" i="22"/>
  <c r="AR68" i="22" s="1"/>
  <c r="AS68" i="22"/>
  <c r="AT68" i="22" s="1"/>
  <c r="L69" i="22"/>
  <c r="AQ69" i="22"/>
  <c r="AR69" i="22" s="1"/>
  <c r="AS69" i="22"/>
  <c r="AT69" i="22" s="1"/>
  <c r="AQ70" i="22"/>
  <c r="AR70" i="22" s="1"/>
  <c r="AS70" i="22"/>
  <c r="AT70" i="22" s="1"/>
  <c r="L70" i="22"/>
  <c r="L71" i="22"/>
  <c r="AQ71" i="22"/>
  <c r="AR71" i="22" s="1"/>
  <c r="AS71" i="22"/>
  <c r="AT71" i="22" s="1"/>
  <c r="AQ72" i="22"/>
  <c r="AR72" i="22" s="1"/>
  <c r="AS72" i="22"/>
  <c r="AT72" i="22" s="1"/>
  <c r="L72" i="22"/>
  <c r="AQ73" i="22"/>
  <c r="AR73" i="22" s="1"/>
  <c r="AS73" i="22"/>
  <c r="AT73" i="22" s="1"/>
  <c r="L73" i="22"/>
  <c r="AS74" i="22"/>
  <c r="AT74" i="22" s="1"/>
  <c r="AQ74" i="22"/>
  <c r="AR74" i="22" s="1"/>
  <c r="L74" i="22"/>
  <c r="AS75" i="22"/>
  <c r="AT75" i="22" s="1"/>
  <c r="AQ75" i="22"/>
  <c r="AR75" i="22" s="1"/>
  <c r="L75" i="22"/>
  <c r="AS76" i="22"/>
  <c r="AT76" i="22" s="1"/>
  <c r="AQ76" i="22"/>
  <c r="AR76" i="22" s="1"/>
  <c r="L76" i="22"/>
  <c r="L77" i="22"/>
  <c r="AS77" i="22"/>
  <c r="AT77" i="22" s="1"/>
  <c r="AQ77" i="22"/>
  <c r="AR77" i="22" s="1"/>
  <c r="AS78" i="22"/>
  <c r="AT78" i="22" s="1"/>
  <c r="AQ78" i="22"/>
  <c r="AR78" i="22" s="1"/>
  <c r="L78" i="22"/>
  <c r="AS79" i="22"/>
  <c r="AT79" i="22" s="1"/>
  <c r="AQ79" i="22"/>
  <c r="AR79" i="22" s="1"/>
  <c r="L79" i="22"/>
  <c r="AS80" i="22"/>
  <c r="AT80" i="22" s="1"/>
  <c r="AQ80" i="22"/>
  <c r="AR80" i="22" s="1"/>
  <c r="L80" i="22"/>
  <c r="AS81" i="22"/>
  <c r="AT81" i="22" s="1"/>
  <c r="AQ81" i="22"/>
  <c r="AR81" i="22" s="1"/>
  <c r="L81" i="22"/>
  <c r="AS82" i="22"/>
  <c r="AT82" i="22" s="1"/>
  <c r="AQ82" i="22"/>
  <c r="AR82" i="22" s="1"/>
  <c r="L82" i="22"/>
  <c r="AS83" i="22"/>
  <c r="AT83" i="22" s="1"/>
  <c r="AQ83" i="22"/>
  <c r="AR83" i="22" s="1"/>
  <c r="L83" i="22"/>
  <c r="AS84" i="22"/>
  <c r="AT84" i="22" s="1"/>
  <c r="AQ84" i="22"/>
  <c r="AR84" i="22" s="1"/>
  <c r="L84" i="22"/>
  <c r="AS85" i="22"/>
  <c r="AT85" i="22" s="1"/>
  <c r="AQ85" i="22"/>
  <c r="AR85" i="22" s="1"/>
  <c r="L85" i="22"/>
  <c r="AS67" i="21"/>
  <c r="AT67" i="21" s="1"/>
  <c r="AQ67" i="21"/>
  <c r="AR67" i="21" s="1"/>
  <c r="AQ68" i="21"/>
  <c r="AR68" i="21" s="1"/>
  <c r="AS68" i="21"/>
  <c r="AT68" i="21" s="1"/>
  <c r="AS69" i="21"/>
  <c r="AT69" i="21" s="1"/>
  <c r="AQ69" i="21"/>
  <c r="AR69" i="21" s="1"/>
  <c r="AS70" i="21"/>
  <c r="AT70" i="21" s="1"/>
  <c r="AQ70" i="21"/>
  <c r="AR70" i="21" s="1"/>
  <c r="AS71" i="21"/>
  <c r="AT71" i="21" s="1"/>
  <c r="AQ71" i="21"/>
  <c r="AR71" i="21" s="1"/>
  <c r="AS72" i="21"/>
  <c r="AT72" i="21" s="1"/>
  <c r="AQ72" i="21"/>
  <c r="AR72" i="21" s="1"/>
  <c r="AS73" i="21"/>
  <c r="AT73" i="21" s="1"/>
  <c r="AQ73" i="21"/>
  <c r="AR73" i="21" s="1"/>
  <c r="AQ74" i="21"/>
  <c r="AR74" i="21" s="1"/>
  <c r="AS74" i="21"/>
  <c r="AT74" i="21" s="1"/>
  <c r="AQ75" i="21"/>
  <c r="AR75" i="21" s="1"/>
  <c r="AS75" i="21"/>
  <c r="AT75" i="21" s="1"/>
  <c r="AQ76" i="21"/>
  <c r="AR76" i="21" s="1"/>
  <c r="AS76" i="21"/>
  <c r="AT76" i="21" s="1"/>
  <c r="AQ77" i="21"/>
  <c r="AR77" i="21" s="1"/>
  <c r="AS77" i="21"/>
  <c r="AT77" i="21" s="1"/>
  <c r="AQ78" i="21"/>
  <c r="AR78" i="21" s="1"/>
  <c r="AS78" i="21"/>
  <c r="AT78" i="21" s="1"/>
  <c r="AS79" i="21"/>
  <c r="AT79" i="21" s="1"/>
  <c r="AQ79" i="21"/>
  <c r="AR79" i="21" s="1"/>
  <c r="AS80" i="21"/>
  <c r="AT80" i="21" s="1"/>
  <c r="AQ80" i="21"/>
  <c r="AR80" i="21" s="1"/>
  <c r="AS81" i="21"/>
  <c r="AT81" i="21" s="1"/>
  <c r="AQ81" i="21"/>
  <c r="AR81" i="21" s="1"/>
  <c r="AQ82" i="21"/>
  <c r="AR82" i="21" s="1"/>
  <c r="AS82" i="21"/>
  <c r="AT82" i="21" s="1"/>
  <c r="AQ83" i="21"/>
  <c r="AR83" i="21" s="1"/>
  <c r="AS83" i="21"/>
  <c r="AT83" i="21" s="1"/>
  <c r="AQ84" i="21"/>
  <c r="AR84" i="21" s="1"/>
  <c r="AS84" i="21"/>
  <c r="AT84" i="21" s="1"/>
  <c r="AS85" i="21"/>
  <c r="AT85" i="21" s="1"/>
  <c r="AQ85" i="21"/>
  <c r="AR85" i="21" s="1"/>
  <c r="AS73" i="1"/>
  <c r="AT73" i="1" s="1"/>
  <c r="AQ73" i="1"/>
  <c r="AR73" i="1" s="1"/>
  <c r="AS74" i="1"/>
  <c r="AT74" i="1" s="1"/>
  <c r="AQ74" i="1"/>
  <c r="AR74" i="1" s="1"/>
  <c r="AS75" i="1"/>
  <c r="AT75" i="1" s="1"/>
  <c r="AQ75" i="1"/>
  <c r="AR75" i="1" s="1"/>
  <c r="AS76" i="1"/>
  <c r="AT76" i="1" s="1"/>
  <c r="AQ76" i="1"/>
  <c r="AR76" i="1" s="1"/>
  <c r="AQ77" i="1"/>
  <c r="AR77" i="1" s="1"/>
  <c r="AS77" i="1"/>
  <c r="AT77" i="1" s="1"/>
  <c r="AS78" i="1"/>
  <c r="AT78" i="1" s="1"/>
  <c r="AQ78" i="1"/>
  <c r="AR78" i="1" s="1"/>
  <c r="AS79" i="1"/>
  <c r="AT79" i="1" s="1"/>
  <c r="AQ79" i="1"/>
  <c r="AR79" i="1" s="1"/>
  <c r="AS80" i="1"/>
  <c r="AT80" i="1" s="1"/>
  <c r="AQ80" i="1"/>
  <c r="AR80" i="1" s="1"/>
  <c r="AQ81" i="1"/>
  <c r="AR81" i="1" s="1"/>
  <c r="AS81" i="1"/>
  <c r="AT81" i="1" s="1"/>
  <c r="AQ82" i="1"/>
  <c r="AR82" i="1" s="1"/>
  <c r="AS82" i="1"/>
  <c r="AT82" i="1" s="1"/>
  <c r="AQ83" i="1"/>
  <c r="AR83" i="1" s="1"/>
  <c r="AS83" i="1"/>
  <c r="AT83" i="1" s="1"/>
  <c r="AQ84" i="1"/>
  <c r="AR84" i="1" s="1"/>
  <c r="AS84" i="1"/>
  <c r="AT84" i="1" s="1"/>
  <c r="AS85" i="1"/>
  <c r="AT85" i="1" s="1"/>
  <c r="AQ85" i="1"/>
  <c r="AR85" i="1" s="1"/>
  <c r="AQ86" i="1"/>
  <c r="AR86" i="1" s="1"/>
  <c r="AS86" i="1"/>
  <c r="AT86" i="1" s="1"/>
  <c r="AQ87" i="1"/>
  <c r="AR87" i="1" s="1"/>
  <c r="AS87" i="1"/>
  <c r="AT87"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3" i="22" l="1"/>
  <c r="I32" i="22"/>
  <c r="AQ66" i="2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F114" i="21"/>
  <c r="I113" i="21" s="1"/>
  <c r="E114" i="21"/>
  <c r="I112" i="21" s="1"/>
  <c r="G107" i="22"/>
  <c r="I106" i="22" s="1"/>
  <c r="E97" i="22" s="1" a="1"/>
  <c r="G116" i="21"/>
  <c r="G108" i="22"/>
  <c r="G109" i="22"/>
  <c r="F115" i="21"/>
  <c r="F116" i="21"/>
  <c r="F117" i="21" s="1"/>
  <c r="G115" i="21"/>
  <c r="D38" i="11"/>
  <c r="D37" i="11"/>
  <c r="D21" i="11"/>
  <c r="E21" i="11" s="1" a="1"/>
  <c r="I108" i="21" l="1"/>
  <c r="D25" i="11"/>
  <c r="E25" i="11" s="1" a="1"/>
  <c r="J106" i="22"/>
  <c r="D20" i="11"/>
  <c r="E20" i="11" s="1" a="1"/>
  <c r="F25" i="11" l="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L44" i="1" s="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L43" i="1" s="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O97" i="1" l="1"/>
  <c r="L97" i="1"/>
  <c r="O96" i="1"/>
  <c r="L96" i="1"/>
  <c r="O95" i="1"/>
  <c r="O99" i="1" s="1"/>
  <c r="I60" i="1" s="1"/>
  <c r="I63" i="1" s="1"/>
  <c r="L95" i="1"/>
  <c r="I96" i="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I135" i="1" s="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<sst xmlns="http://schemas.openxmlformats.org/spreadsheetml/2006/main" count="3193" uniqueCount="1064">
  <si>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</si>
  <si>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</si>
  <si>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</si>
  <si>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</si>
  <si>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</si>
  <si>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</si>
  <si>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</si>
  <si>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</si>
  <si>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</si>
  <si>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</si>
  <si>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</si>
  <si>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</si>
  <si>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</si>
  <si>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</si>
  <si>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</si>
  <si>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</si>
  <si>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</si>
  <si>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</si>
  <si>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</si>
  <si>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</si>
  <si>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</si>
  <si>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</si>
  <si>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</si>
  <si>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</si>
  <si>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</si>
  <si>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</si>
  <si>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</si>
  <si>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</si>
  <si>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</si>
  <si>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</si>
  <si>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</si>
  <si>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</si>
  <si>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</si>
  <si>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</si>
  <si>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</si>
  <si>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</si>
  <si>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</si>
  <si>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</si>
  <si>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</si>
  <si>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</si>
  <si>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</si>
  <si>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</si>
  <si>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</si>
  <si>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</si>
  <si>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</si>
  <si>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</si>
  <si>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</si>
  <si>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</si>
  <si>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</si>
  <si>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</si>
  <si>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</si>
  <si>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</si>
  <si>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</si>
  <si>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</si>
  <si>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</si>
  <si>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</si>
  <si>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</si>
  <si>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</si>
  <si>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</si>
  <si>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</si>
  <si>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</si>
  <si>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</si>
  <si>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</si>
  <si>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</si>
  <si>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</si>
  <si>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</si>
  <si>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</si>
  <si>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</si>
  <si>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</si>
  <si>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</si>
  <si>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</si>
  <si>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</si>
  <si>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</si>
  <si>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</si>
  <si>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</si>
  <si>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</si>
  <si>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</si>
  <si>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</si>
  <si>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</si>
  <si>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</si>
  <si>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</si>
  <si>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</si>
  <si>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</si>
  <si>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</si>
  <si>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</si>
  <si>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</si>
  <si>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</si>
  <si>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</si>
  <si>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</si>
  <si>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</si>
  <si>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</si>
  <si>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</si>
  <si>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</si>
  <si>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</si>
  <si>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</si>
  <si>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</si>
  <si>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</si>
  <si>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</si>
  <si>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</si>
  <si>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</si>
  <si>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</si>
  <si>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</si>
  <si>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</si>
  <si>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</si>
  <si>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</si>
  <si>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</si>
  <si>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</si>
  <si>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</si>
  <si>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</si>
  <si>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</si>
  <si>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</si>
  <si>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</si>
  <si>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</si>
  <si>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</si>
  <si>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</si>
  <si>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</si>
  <si>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</si>
  <si>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</si>
  <si>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</si>
  <si>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</si>
  <si>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</si>
  <si>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</si>
  <si>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</si>
  <si>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</si>
  <si>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</si>
  <si>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</si>
  <si>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</si>
  <si>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</si>
  <si>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</si>
  <si>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</si>
  <si>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</si>
  <si>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</si>
  <si>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</si>
  <si>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</si>
  <si>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</si>
  <si>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</si>
  <si>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</si>
  <si>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</si>
  <si>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</si>
  <si>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</si>
  <si>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</si>
  <si>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</si>
  <si>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</si>
  <si>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</si>
  <si>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</si>
  <si>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</si>
  <si>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</si>
  <si>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</si>
  <si>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</si>
  <si>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</si>
  <si>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</si>
  <si>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</si>
  <si>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</si>
  <si>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</si>
  <si>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</si>
  <si>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</si>
  <si>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</si>
  <si>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</si>
  <si>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</si>
  <si>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</si>
  <si>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</si>
  <si>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</si>
  <si>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</si>
  <si>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</si>
  <si>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</si>
  <si>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</si>
  <si>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</si>
  <si>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</si>
  <si>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</si>
  <si>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</si>
  <si>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</si>
  <si>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</si>
  <si>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</si>
  <si>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</si>
  <si>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</si>
  <si>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</si>
  <si>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</si>
  <si>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</si>
  <si>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</si>
  <si>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</si>
  <si>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</si>
  <si>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</si>
  <si>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</si>
  <si>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</si>
  <si>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</si>
  <si>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</si>
  <si>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</si>
  <si>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</si>
  <si>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</si>
  <si>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</si>
  <si>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</si>
  <si>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</si>
  <si>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</si>
  <si>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</si>
  <si>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</si>
  <si>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</si>
  <si>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</si>
  <si>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</si>
  <si>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</si>
  <si>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</si>
  <si>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</si>
  <si>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</si>
  <si>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</si>
  <si>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</si>
  <si>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</si>
  <si>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</si>
  <si>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</si>
  <si>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</si>
  <si>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</si>
  <si>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</si>
  <si>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</si>
  <si>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</si>
  <si>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</si>
  <si>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</si>
  <si>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</si>
  <si>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</si>
  <si>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</si>
  <si>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</si>
  <si>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</si>
  <si>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</si>
  <si>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</si>
  <si>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</si>
  <si>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</si>
  <si>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</si>
  <si>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</si>
  <si>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</si>
  <si>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</si>
  <si>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</si>
  <si>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</si>
  <si>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</si>
  <si>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</si>
  <si>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</si>
  <si>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</si>
  <si>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</si>
  <si>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</si>
  <si>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</si>
  <si>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</si>
  <si>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</si>
  <si>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</si>
  <si>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</si>
  <si>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</si>
  <si>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</si>
  <si>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</si>
  <si>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</si>
  <si>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</si>
  <si>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</si>
  <si>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</si>
  <si>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</si>
  <si>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</si>
  <si>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</si>
  <si>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</si>
  <si>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</si>
  <si>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</si>
  <si>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</si>
  <si>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</si>
  <si>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</si>
  <si>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</si>
  <si>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</si>
  <si>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</si>
  <si>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</si>
  <si>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</si>
  <si>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</si>
  <si>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</si>
  <si>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</si>
  <si>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</si>
  <si>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</si>
  <si>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</si>
  <si>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</si>
  <si>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</si>
  <si>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</si>
  <si>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</si>
  <si>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</si>
  <si>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</si>
  <si>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</si>
  <si>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</si>
  <si>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</si>
  <si>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</si>
  <si>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</si>
  <si>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</si>
  <si>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</si>
  <si>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</si>
  <si>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</si>
  <si>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</si>
  <si>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</si>
  <si>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</si>
  <si>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</si>
  <si>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</si>
  <si>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</si>
  <si>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</si>
  <si>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</si>
  <si>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</si>
  <si>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</si>
  <si>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</si>
  <si>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</si>
  <si>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</si>
  <si>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</si>
  <si>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</si>
  <si>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</si>
  <si>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</si>
  <si>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</si>
  <si>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</si>
  <si>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</si>
  <si>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</si>
  <si>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</si>
  <si>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</si>
  <si>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</si>
  <si>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</si>
  <si>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</si>
  <si>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</si>
  <si>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</si>
  <si>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</si>
  <si>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</si>
  <si>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</si>
  <si>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</si>
  <si>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</si>
  <si>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</si>
  <si>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</si>
  <si>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</si>
  <si>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</si>
  <si>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</si>
  <si>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</si>
  <si>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</si>
  <si>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</si>
  <si>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</si>
  <si>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</si>
  <si>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</si>
  <si>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</si>
  <si>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</si>
  <si>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</si>
  <si>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</si>
  <si>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</si>
  <si>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</si>
  <si>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</si>
  <si>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</si>
  <si>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</si>
  <si>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</si>
  <si>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</si>
  <si>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</si>
  <si>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</si>
  <si>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</si>
  <si>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</si>
  <si>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</si>
  <si>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</si>
  <si>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</si>
  <si>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</si>
  <si>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</si>
  <si>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</si>
  <si>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</si>
  <si>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</si>
  <si>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</si>
  <si>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</si>
  <si>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</si>
  <si>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</si>
  <si>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</si>
  <si>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</si>
  <si>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</si>
  <si>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</si>
  <si>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</si>
  <si>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</si>
  <si>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</si>
  <si>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</si>
  <si>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</si>
  <si>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</si>
  <si>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</si>
  <si>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</si>
  <si>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</si>
  <si>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</si>
  <si>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</si>
  <si>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</si>
  <si>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</si>
  <si>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</si>
  <si>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</si>
  <si>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</si>
  <si>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</si>
  <si>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</si>
  <si>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</si>
  <si>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</si>
  <si>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</si>
  <si>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</si>
  <si>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</si>
  <si>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</si>
  <si>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</si>
  <si>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</si>
  <si>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</si>
  <si>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</si>
  <si>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</si>
  <si>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</si>
  <si>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</si>
  <si>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</si>
  <si>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</si>
  <si>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</si>
  <si>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</si>
  <si>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</si>
  <si>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</si>
  <si>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</si>
  <si>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</si>
  <si>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</si>
  <si>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</si>
  <si>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</si>
  <si>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</si>
  <si>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</si>
  <si>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</si>
  <si>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</si>
  <si>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</si>
  <si>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</si>
  <si>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</si>
  <si>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</si>
  <si>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</si>
  <si>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</si>
  <si>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</si>
  <si>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</si>
  <si>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</si>
  <si>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</si>
  <si>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</si>
  <si>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</si>
  <si>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</si>
  <si>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</si>
  <si>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</si>
  <si>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</si>
  <si>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</si>
  <si>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</si>
  <si>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</si>
  <si>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</si>
  <si>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</si>
  <si>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</si>
  <si>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</si>
  <si>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</si>
  <si>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</si>
  <si>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</si>
  <si>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</si>
  <si>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</si>
  <si>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</si>
  <si>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</si>
  <si>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</si>
  <si>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</si>
  <si>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</si>
  <si>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</si>
  <si>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</si>
  <si>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</si>
  <si>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</si>
  <si>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</si>
  <si>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</si>
  <si>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</si>
  <si>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</si>
  <si>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</si>
  <si>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</si>
  <si>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</si>
  <si>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</si>
  <si>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</si>
  <si>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</si>
  <si>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</si>
  <si>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</si>
  <si>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</si>
  <si>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</si>
  <si>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</si>
  <si>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</si>
  <si>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</si>
  <si>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</si>
  <si>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</si>
  <si>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</si>
  <si>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</si>
  <si>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</si>
  <si>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</si>
  <si>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</si>
  <si>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</si>
  <si>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</si>
  <si>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</si>
  <si>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</si>
  <si>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</si>
  <si>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</si>
  <si>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</si>
  <si>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</si>
  <si>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</si>
  <si>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</si>
  <si>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</si>
  <si>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</si>
  <si>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</si>
  <si>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</si>
  <si>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</si>
  <si>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</si>
  <si>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</si>
  <si>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</si>
  <si>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</si>
  <si>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</si>
  <si>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</si>
  <si>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</si>
  <si>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</si>
  <si>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</si>
  <si>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</si>
  <si>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</si>
  <si>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</si>
  <si>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</si>
  <si>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</si>
  <si>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</si>
  <si>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</si>
  <si>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</si>
  <si>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</si>
  <si>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</si>
  <si>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</si>
  <si>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</si>
  <si>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</si>
  <si>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</si>
  <si>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</si>
  <si>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</si>
  <si>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</si>
  <si>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</si>
  <si>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</si>
  <si>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</si>
  <si>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</si>
  <si>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</si>
  <si>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</si>
  <si>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</si>
  <si>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</si>
  <si>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</si>
  <si>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</si>
  <si>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</si>
  <si>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</si>
  <si>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</si>
  <si>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</si>
  <si>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</si>
  <si>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</si>
  <si>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</si>
  <si>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</si>
  <si>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</si>
  <si>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</si>
  <si>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</si>
  <si>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</si>
  <si>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</si>
  <si>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</si>
  <si>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</si>
  <si>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</si>
  <si>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</si>
  <si>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</si>
  <si>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</si>
  <si>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</si>
  <si>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</si>
  <si>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</si>
  <si>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</si>
  <si>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</si>
  <si>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</si>
  <si>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</si>
  <si>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</si>
  <si>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</si>
  <si>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</si>
  <si>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</si>
  <si>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</si>
  <si>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</si>
  <si>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</si>
  <si>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</si>
  <si>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</si>
  <si>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</si>
  <si>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</si>
  <si>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</si>
  <si>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</si>
  <si>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</si>
  <si>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</si>
  <si>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</si>
  <si>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</si>
  <si>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</si>
  <si>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</si>
  <si>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</si>
  <si>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</si>
  <si>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</si>
  <si>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</si>
  <si>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</si>
  <si>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</si>
  <si>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</si>
  <si>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</si>
  <si>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</si>
  <si>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</si>
  <si>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</si>
  <si>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</si>
  <si>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</si>
  <si>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</si>
  <si>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</si>
  <si>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</si>
  <si>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</si>
  <si>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</si>
  <si>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</si>
  <si>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</si>
  <si>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</si>
  <si>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</si>
  <si>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</si>
  <si>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</si>
  <si>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</si>
  <si>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</si>
  <si>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</si>
  <si>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</si>
  <si>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</si>
  <si>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</si>
  <si>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</si>
  <si>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</si>
  <si>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</si>
  <si>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</si>
  <si>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</si>
  <si>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</si>
  <si>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</si>
  <si>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</si>
  <si>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</si>
  <si>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</si>
  <si>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</si>
  <si>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</si>
  <si>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</si>
  <si>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</si>
  <si>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</si>
  <si>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</si>
  <si>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</si>
  <si>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</si>
  <si>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</si>
  <si>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</si>
  <si>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</si>
  <si>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</si>
  <si>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</si>
  <si>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</si>
  <si>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</si>
  <si>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</si>
  <si>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</si>
  <si>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</si>
  <si>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</si>
  <si>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</si>
  <si>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</si>
  <si>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</si>
  <si>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</si>
  <si>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</si>
  <si>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</si>
  <si>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</si>
  <si>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</si>
  <si>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</si>
  <si>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</si>
  <si>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</si>
  <si>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</si>
  <si>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</si>
  <si>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</si>
  <si>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</si>
  <si>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</si>
  <si>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</si>
  <si>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</si>
  <si>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</si>
  <si>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</si>
  <si>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</si>
  <si>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</si>
  <si>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</si>
  <si>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</si>
  <si>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</si>
  <si>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</si>
  <si>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</si>
  <si>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</si>
  <si>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</si>
  <si>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</si>
  <si>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</si>
  <si>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</si>
  <si>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</si>
  <si>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</si>
  <si>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</si>
  <si>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</si>
  <si>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</si>
  <si>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</si>
  <si>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</si>
  <si>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</si>
  <si>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</si>
  <si>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</si>
  <si>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</si>
  <si>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</si>
  <si>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</si>
  <si>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</si>
  <si>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</si>
  <si>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</si>
  <si>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</si>
  <si>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</si>
  <si>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</si>
  <si>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</si>
  <si>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</si>
  <si>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</si>
  <si>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</si>
  <si>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</si>
  <si>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</si>
  <si>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</si>
  <si>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</si>
  <si>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</si>
  <si>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</si>
  <si>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</si>
  <si>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</si>
  <si>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</si>
  <si>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</si>
  <si>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</si>
  <si>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</si>
  <si>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</si>
  <si>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</si>
  <si>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</si>
  <si>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</si>
  <si>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</si>
  <si>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</si>
  <si>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</si>
  <si>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</si>
  <si>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</si>
  <si>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</si>
  <si>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</si>
  <si>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</si>
  <si>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</si>
  <si>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</si>
  <si>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</si>
  <si>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</si>
  <si>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</si>
  <si>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</si>
  <si>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</si>
  <si>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</si>
  <si>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</si>
  <si>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</si>
  <si>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</si>
  <si>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</si>
  <si>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</si>
  <si>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</si>
  <si>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</si>
  <si>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</si>
  <si>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</si>
  <si>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</si>
  <si>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</si>
  <si>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</si>
  <si>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</si>
  <si>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</si>
  <si>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</si>
  <si>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</si>
  <si>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</si>
  <si>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</si>
  <si>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</si>
  <si>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</si>
  <si>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</si>
  <si>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</si>
  <si>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</si>
  <si>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</si>
  <si>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</si>
  <si>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</si>
  <si>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</si>
  <si>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</si>
  <si>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</si>
  <si>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</si>
  <si>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</si>
  <si>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</si>
  <si>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</si>
  <si>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</si>
  <si>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</si>
  <si>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</si>
  <si>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</si>
  <si>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</si>
  <si>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</si>
  <si>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</si>
  <si>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</si>
  <si>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</si>
  <si>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</si>
  <si>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</si>
  <si>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</si>
  <si>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</si>
  <si>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</si>
  <si>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</si>
  <si>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</si>
  <si>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</si>
  <si>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</si>
  <si>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</si>
  <si>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</si>
  <si>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</si>
  <si>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</si>
  <si>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</si>
  <si>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</si>
  <si>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</si>
  <si>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</si>
  <si>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</si>
  <si>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</si>
  <si>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</si>
  <si>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</si>
  <si>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</si>
  <si>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</si>
  <si>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</si>
  <si>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</si>
  <si>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</si>
  <si>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</si>
  <si>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</si>
  <si>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</si>
  <si>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</si>
  <si>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</si>
  <si>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</si>
  <si>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</si>
  <si>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</si>
  <si>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</si>
  <si>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</si>
  <si>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</si>
  <si>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</si>
  <si>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</si>
  <si>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</si>
  <si>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</si>
  <si>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</si>
  <si>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</si>
  <si>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</si>
  <si>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</si>
  <si>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</si>
  <si>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</si>
  <si>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</si>
  <si>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</si>
  <si>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</si>
  <si>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</si>
  <si>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</si>
  <si>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</si>
  <si>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</si>
  <si>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</si>
  <si>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</si>
  <si>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</si>
  <si>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</si>
  <si>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</si>
  <si>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</si>
  <si>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</si>
  <si>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</si>
  <si>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</si>
  <si>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</si>
  <si>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</si>
  <si>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</si>
  <si>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</si>
  <si>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</si>
  <si>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</si>
  <si>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</si>
  <si>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</si>
  <si>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</si>
  <si>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</si>
  <si>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</si>
  <si>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</si>
  <si>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</si>
  <si>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</si>
  <si>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</si>
  <si>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</si>
  <si>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</si>
  <si>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</si>
  <si>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</si>
  <si>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</si>
  <si>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</si>
  <si>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</si>
  <si>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</si>
  <si>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</si>
  <si>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</si>
  <si>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</si>
  <si>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</si>
  <si>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</si>
  <si>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</si>
  <si>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</si>
  <si>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</si>
  <si>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</si>
  <si>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</si>
  <si>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</si>
  <si>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</si>
  <si>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</si>
  <si>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</si>
  <si>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</si>
  <si>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</si>
  <si>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</si>
  <si>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</si>
  <si>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</si>
  <si>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</si>
  <si>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</si>
  <si>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</si>
  <si>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</si>
  <si>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</si>
  <si>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</si>
  <si>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</si>
  <si>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</si>
  <si>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</si>
  <si>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</si>
  <si>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</si>
  <si>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</si>
  <si>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</si>
  <si>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</si>
  <si>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</si>
  <si>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</si>
  <si>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</si>
  <si>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</si>
  <si>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</si>
  <si>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</si>
  <si>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</si>
  <si>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</si>
  <si>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</si>
  <si>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</si>
  <si>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</si>
  <si>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</si>
  <si>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</si>
  <si>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</si>
  <si>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</si>
  <si>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</si>
  <si>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</si>
  <si>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</si>
  <si>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</si>
  <si>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</si>
  <si>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</si>
  <si>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</si>
  <si>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</si>
  <si>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</si>
  <si>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</si>
  <si>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</si>
  <si>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</si>
  <si>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</si>
  <si>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</si>
  <si>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</si>
  <si>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</si>
  <si>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</si>
  <si>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</si>
  <si>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</si>
  <si>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</si>
  <si>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</si>
  <si>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</si>
  <si>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</si>
  <si>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</si>
  <si>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</si>
  <si>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</si>
  <si>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</si>
  <si>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</si>
  <si>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</si>
  <si>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</si>
  <si>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</si>
  <si>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</si>
  <si>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</si>
  <si>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</si>
  <si>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</si>
  <si>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</si>
  <si>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</si>
  <si>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</si>
  <si>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</si>
  <si>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</si>
  <si>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</si>
  <si>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</si>
  <si>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</si>
  <si>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</si>
  <si>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</si>
  <si>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</si>
  <si>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</si>
  <si>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</si>
  <si>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</si>
  <si>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</si>
  <si>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</si>
  <si>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</si>
  <si>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</si>
  <si>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</si>
  <si>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</si>
  <si>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</si>
  <si>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</si>
  <si>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</si>
  <si>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</si>
  <si>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</si>
  <si>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</si>
  <si>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</si>
  <si>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</si>
  <si>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</si>
  <si>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</si>
  <si>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</si>
  <si>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</si>
  <si>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</si>
  <si>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</si>
  <si>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</si>
  <si>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</si>
  <si>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</si>
  <si>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</si>
  <si>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</si>
  <si>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</si>
  <si>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</si>
  <si>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</si>
  <si>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</si>
  <si>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</si>
  <si>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</si>
  <si>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</si>
  <si>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</si>
  <si>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</si>
  <si>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</si>
  <si>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</si>
  <si>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</si>
  <si>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</si>
  <si>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</si>
  <si>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</si>
  <si>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</si>
  <si>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</si>
  <si>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</si>
  <si>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</si>
  <si>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</si>
  <si>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</si>
  <si>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</si>
  <si>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</si>
  <si>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</si>
  <si>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</si>
  <si>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</si>
  <si>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</si>
  <si>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</si>
  <si>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</si>
  <si>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</si>
  <si>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</si>
  <si>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</si>
  <si>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</si>
  <si>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</si>
  <si>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</si>
  <si>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</si>
  <si>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</si>
  <si>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</si>
  <si>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</si>
  <si>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</si>
  <si>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</si>
  <si>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</si>
  <si>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</si>
  <si>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</si>
  <si>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</si>
  <si>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</si>
  <si>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</si>
  <si>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</si>
  <si>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</si>
  <si>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</si>
  <si>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</si>
  <si>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</si>
  <si>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</si>
  <si>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</si>
  <si>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</si>
  <si>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</si>
  <si>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</si>
  <si>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</si>
  <si>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</si>
  <si>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</si>
  <si>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</si>
  <si>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</si>
  <si>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</si>
  <si>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</si>
  <si>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</si>
  <si>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</si>
  <si>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</si>
  <si>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</si>
  <si>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</si>
  <si>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</si>
  <si>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</si>
  <si>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</si>
  <si>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</si>
  <si>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</si>
  <si>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</si>
  <si>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</si>
  <si>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</si>
  <si>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</si>
  <si>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</si>
  <si>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</si>
  <si>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</si>
  <si>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</si>
  <si>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</si>
  <si>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</si>
  <si>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</si>
  <si>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</si>
  <si>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</si>
  <si>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</si>
  <si>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</si>
  <si>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</si>
  <si>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</si>
  <si>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</si>
  <si>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</si>
  <si>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</si>
  <si>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</si>
  <si>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t>
  </si>
  <si>
    <t>Tilshead Village Hall Ground</t>
  </si>
  <si>
    <t>Catherine Caesar</t>
  </si>
  <si>
    <t>PP-14981082</t>
  </si>
  <si>
    <t>Catherine Caesar (Teacher, (retired))</t>
  </si>
  <si>
    <t>13/06/2026</t>
  </si>
  <si>
    <t>Tilshead VH Proposed Redevelopment</t>
  </si>
  <si>
    <t>Other</t>
  </si>
  <si>
    <t>No</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</si>
  <si>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</si>
  <si>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</si>
  <si>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Catherine Caesar (Teacher (retired))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</si>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</sst>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0.1042864</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0.1020342131323666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82"/>
      <c r="E1" s="582"/>
      <c r="F1" s="582"/>
      <c r="G1" s="582"/>
      <c r="H1" s="582"/>
      <c r="I1" s="582"/>
      <c r="J1" s="582"/>
      <c r="K1" s="25"/>
      <c r="L1" s="25"/>
      <c r="M1" s="25"/>
      <c r="N1" s="25"/>
      <c r="O1" s="25"/>
      <c r="P1" s="25"/>
      <c r="Q1" s="25"/>
      <c r="R1" s="25"/>
      <c r="S1" s="25"/>
      <c r="T1" s="25"/>
      <c r="U1" s="25"/>
      <c r="V1" s="25"/>
      <c r="W1" s="25"/>
      <c r="X1" s="25"/>
      <c r="Y1" s="25"/>
      <c r="Z1" s="25"/>
      <c r="AA1" s="25"/>
      <c r="AB1" s="25"/>
      <c r="AC1" s="25"/>
      <c r="AD1" s="25"/>
    </row>
    <row r="2" spans="1:30">
      <c r="A2" s="25"/>
      <c r="B2" s="25"/>
      <c r="C2" s="25"/>
      <c r="D2" s="582"/>
      <c r="E2" s="582"/>
      <c r="F2" s="582"/>
      <c r="G2" s="582"/>
      <c r="H2" s="582"/>
      <c r="I2" s="582"/>
      <c r="J2" s="582"/>
      <c r="K2" s="25"/>
      <c r="L2" s="25"/>
      <c r="M2" s="25"/>
      <c r="N2" s="25"/>
      <c r="O2" s="25"/>
      <c r="P2" s="25"/>
      <c r="Q2" s="25"/>
      <c r="R2" s="25"/>
      <c r="S2" s="25"/>
      <c r="T2" s="25"/>
      <c r="U2" s="25"/>
      <c r="V2" s="25"/>
      <c r="W2" s="25"/>
      <c r="X2" s="25"/>
      <c r="Y2" s="25"/>
      <c r="Z2" s="25"/>
      <c r="AA2" s="25"/>
      <c r="AB2" s="25"/>
      <c r="AC2" s="25"/>
      <c r="AD2" s="25"/>
    </row>
    <row r="3" spans="1:30">
      <c r="A3" s="25"/>
      <c r="B3" s="25"/>
      <c r="C3" s="25"/>
      <c r="D3" s="582"/>
      <c r="E3" s="582"/>
      <c r="F3" s="582"/>
      <c r="G3" s="582"/>
      <c r="H3" s="582"/>
      <c r="I3" s="582"/>
      <c r="J3" s="582"/>
      <c r="K3" s="25"/>
      <c r="L3" s="25"/>
      <c r="M3" s="25"/>
      <c r="N3" s="25"/>
      <c r="O3" s="25"/>
      <c r="P3" s="25"/>
      <c r="Q3" s="25"/>
      <c r="R3" s="25"/>
      <c r="S3" s="25"/>
      <c r="T3" s="25"/>
      <c r="U3" s="25"/>
      <c r="V3" s="25"/>
      <c r="W3" s="25"/>
      <c r="X3" s="25"/>
      <c r="Y3" s="25"/>
      <c r="Z3" s="25"/>
      <c r="AA3" s="25"/>
      <c r="AB3" s="25"/>
      <c r="AC3" s="25"/>
      <c r="AD3" s="25"/>
    </row>
    <row r="4" spans="1:30">
      <c r="A4" s="25"/>
      <c r="B4" s="25"/>
      <c r="C4" s="25"/>
      <c r="D4" s="582"/>
      <c r="E4" s="582"/>
      <c r="F4" s="582"/>
      <c r="G4" s="582"/>
      <c r="H4" s="582"/>
      <c r="I4" s="582"/>
      <c r="J4" s="582"/>
      <c r="K4" s="25"/>
      <c r="L4" s="25"/>
      <c r="M4" s="25"/>
      <c r="N4" s="25"/>
      <c r="O4" s="25"/>
      <c r="P4" s="25"/>
      <c r="Q4" s="25"/>
      <c r="R4" s="25"/>
      <c r="S4" s="25"/>
      <c r="T4" s="25"/>
      <c r="U4" s="25"/>
      <c r="V4" s="25"/>
      <c r="W4" s="25"/>
      <c r="X4" s="25"/>
      <c r="Y4" s="25"/>
      <c r="Z4" s="25"/>
      <c r="AA4" s="25"/>
      <c r="AB4" s="25"/>
      <c r="AC4" s="25"/>
      <c r="AD4" s="25"/>
    </row>
    <row r="5" spans="1:30">
      <c r="A5" s="25"/>
      <c r="B5" s="25"/>
      <c r="C5" s="25"/>
      <c r="D5" s="582"/>
      <c r="E5" s="582"/>
      <c r="F5" s="582"/>
      <c r="G5" s="582"/>
      <c r="H5" s="582"/>
      <c r="I5" s="582"/>
      <c r="J5" s="582"/>
      <c r="K5" s="25"/>
      <c r="L5" s="25"/>
      <c r="M5" s="25"/>
      <c r="N5" s="25"/>
      <c r="O5" s="25"/>
      <c r="P5" s="25"/>
      <c r="Q5" s="25"/>
      <c r="R5" s="25"/>
      <c r="S5" s="25"/>
      <c r="T5" s="25"/>
      <c r="U5" s="25"/>
      <c r="V5" s="25"/>
      <c r="W5" s="25"/>
      <c r="X5" s="25"/>
      <c r="Y5" s="25"/>
      <c r="Z5" s="25"/>
      <c r="AA5" s="25"/>
      <c r="AB5" s="25"/>
      <c r="AC5" s="25"/>
      <c r="AD5" s="25"/>
    </row>
    <row r="6" spans="1:30">
      <c r="A6" s="157" t="s">
        <v>0</v>
      </c>
      <c r="B6" s="584" t="s">
        <v>1027</v>
      </c>
      <c r="C6" s="585"/>
      <c r="D6" s="585"/>
      <c r="E6" s="585"/>
      <c r="F6" s="585"/>
      <c r="G6" s="585"/>
      <c r="H6" s="585"/>
      <c r="I6" s="585"/>
      <c r="J6" s="585"/>
      <c r="K6" s="25"/>
      <c r="L6" s="25"/>
      <c r="M6" s="25"/>
      <c r="N6" s="25"/>
      <c r="O6" s="25"/>
      <c r="P6" s="25"/>
      <c r="Q6" s="25"/>
      <c r="R6" s="25"/>
      <c r="S6" s="25"/>
      <c r="T6" s="25"/>
      <c r="U6" s="25"/>
      <c r="V6" s="25"/>
      <c r="W6" s="25"/>
      <c r="X6" s="25"/>
      <c r="Y6" s="25"/>
      <c r="Z6" s="25"/>
      <c r="AA6" s="25"/>
      <c r="AB6" s="25"/>
      <c r="AC6" s="25"/>
      <c r="AD6" s="25"/>
    </row>
    <row r="7" spans="1:30">
      <c r="A7" s="25"/>
      <c r="B7" s="585"/>
      <c r="C7" s="585"/>
      <c r="D7" s="585"/>
      <c r="E7" s="585"/>
      <c r="F7" s="585"/>
      <c r="G7" s="585"/>
      <c r="H7" s="585"/>
      <c r="I7" s="585"/>
      <c r="J7" s="585"/>
      <c r="K7" s="25"/>
      <c r="L7" s="25"/>
      <c r="M7" s="25"/>
      <c r="N7" s="25"/>
      <c r="O7" s="25"/>
      <c r="P7" s="25"/>
      <c r="Q7" s="25"/>
      <c r="R7" s="25"/>
      <c r="S7" s="25"/>
      <c r="T7" s="25"/>
      <c r="U7" s="25"/>
      <c r="V7" s="25"/>
      <c r="W7" s="25"/>
      <c r="X7" s="25"/>
      <c r="Y7" s="25"/>
      <c r="Z7" s="25"/>
      <c r="AA7" s="25"/>
      <c r="AB7" s="25"/>
      <c r="AC7" s="25"/>
      <c r="AD7" s="25"/>
    </row>
    <row r="8" spans="1:30" ht="28.5" customHeight="1">
      <c r="A8" s="25"/>
      <c r="B8" s="585"/>
      <c r="C8" s="585"/>
      <c r="D8" s="585"/>
      <c r="E8" s="585"/>
      <c r="F8" s="585"/>
      <c r="G8" s="585"/>
      <c r="H8" s="585"/>
      <c r="I8" s="585"/>
      <c r="J8" s="585"/>
      <c r="K8" s="25"/>
      <c r="L8" s="25"/>
      <c r="M8" s="25"/>
      <c r="N8" s="25"/>
      <c r="O8" s="25"/>
      <c r="P8" s="25"/>
      <c r="Q8" s="25"/>
      <c r="R8" s="25"/>
      <c r="S8" s="25"/>
      <c r="T8" s="25"/>
      <c r="U8" s="25"/>
      <c r="V8" s="25"/>
      <c r="W8" s="25"/>
      <c r="X8" s="25"/>
      <c r="Y8" s="25"/>
      <c r="Z8" s="25"/>
      <c r="AA8" s="25"/>
      <c r="AB8" s="25"/>
      <c r="AC8" s="25"/>
      <c r="AD8" s="25"/>
    </row>
    <row r="9" spans="1:30" ht="14.45" customHeight="1">
      <c r="A9" s="25"/>
      <c r="B9" s="586"/>
      <c r="C9" s="586"/>
      <c r="D9" s="586"/>
      <c r="E9" s="586"/>
      <c r="F9" s="586"/>
      <c r="G9" s="586"/>
      <c r="H9" s="586"/>
      <c r="I9" s="586"/>
      <c r="J9" s="586"/>
      <c r="K9" s="25"/>
      <c r="L9" s="25"/>
      <c r="M9" s="25"/>
      <c r="N9" s="25"/>
      <c r="O9" s="25"/>
      <c r="P9" s="25"/>
      <c r="Q9" s="25"/>
      <c r="R9" s="25"/>
      <c r="S9" s="25"/>
      <c r="T9" s="25"/>
      <c r="U9" s="25"/>
      <c r="V9" s="25"/>
      <c r="W9" s="25"/>
      <c r="X9" s="25"/>
      <c r="Y9" s="25"/>
      <c r="Z9" s="25"/>
      <c r="AA9" s="25"/>
      <c r="AB9" s="25"/>
      <c r="AC9" s="25"/>
      <c r="AD9" s="25"/>
    </row>
    <row r="10" spans="1:30" ht="20.45" customHeight="1">
      <c r="A10" s="25"/>
      <c r="B10" s="586"/>
      <c r="C10" s="586"/>
      <c r="D10" s="586"/>
      <c r="E10" s="586"/>
      <c r="F10" s="586"/>
      <c r="G10" s="586"/>
      <c r="H10" s="586"/>
      <c r="I10" s="586"/>
      <c r="J10" s="586"/>
      <c r="K10" s="25"/>
      <c r="L10" s="25"/>
      <c r="M10" s="25"/>
      <c r="N10" s="25"/>
      <c r="O10" s="25"/>
      <c r="P10" s="25"/>
      <c r="Q10" s="25"/>
      <c r="R10" s="25"/>
      <c r="S10" s="25"/>
      <c r="T10" s="25"/>
      <c r="U10" s="25"/>
      <c r="V10" s="25"/>
      <c r="W10" s="25"/>
      <c r="X10" s="25"/>
      <c r="Y10" s="25"/>
      <c r="Z10" s="25"/>
      <c r="AA10" s="25"/>
      <c r="AB10" s="25"/>
      <c r="AC10" s="25"/>
      <c r="AD10" s="25"/>
    </row>
    <row r="11" spans="1:30">
      <c r="A11" s="25"/>
      <c r="B11" s="587" t="s">
        <v>1042</v>
      </c>
      <c r="C11" s="587"/>
      <c r="D11" s="587"/>
      <c r="E11" s="587"/>
      <c r="F11" s="579" t="s">
        <v>1050</v>
      </c>
      <c r="G11" s="579"/>
      <c r="H11" s="579"/>
      <c r="I11" s="579"/>
      <c r="J11" s="579"/>
      <c r="K11" s="25"/>
      <c r="L11" s="25"/>
      <c r="M11" s="25"/>
      <c r="N11" s="25"/>
      <c r="O11" s="25"/>
      <c r="P11" s="25"/>
      <c r="Q11" s="25"/>
      <c r="R11" s="25"/>
      <c r="S11" s="25"/>
      <c r="T11" s="25"/>
      <c r="U11" s="25"/>
      <c r="V11" s="25"/>
      <c r="W11" s="25"/>
      <c r="X11" s="25"/>
      <c r="Y11" s="25"/>
      <c r="Z11" s="25"/>
      <c r="AA11" s="25"/>
      <c r="AB11" s="25"/>
      <c r="AC11" s="25"/>
      <c r="AD11" s="25"/>
    </row>
    <row r="12" spans="1:30">
      <c r="A12" s="25"/>
      <c r="B12" s="580"/>
      <c r="C12" s="580"/>
      <c r="D12" s="580"/>
      <c r="E12" s="580"/>
      <c r="F12" s="580"/>
      <c r="G12" s="580"/>
      <c r="H12" s="580"/>
      <c r="I12" s="580"/>
      <c r="J12" s="58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81"/>
      <c r="C14" s="588"/>
      <c r="D14" s="588"/>
      <c r="E14" s="588"/>
      <c r="F14" s="588"/>
      <c r="G14" s="588"/>
      <c r="H14" s="588"/>
      <c r="I14" s="588"/>
      <c r="J14" s="58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1"/>
      <c r="C15" s="588"/>
      <c r="D15" s="588"/>
      <c r="E15" s="588"/>
      <c r="F15" s="588"/>
      <c r="G15" s="588"/>
      <c r="H15" s="588"/>
      <c r="I15" s="588"/>
      <c r="J15" s="58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3" t="s">
        <v>1</v>
      </c>
      <c r="C17" s="583"/>
      <c r="D17" s="583"/>
      <c r="E17" s="583"/>
      <c r="F17" s="583"/>
      <c r="G17" s="583"/>
      <c r="H17" s="58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89"/>
      <c r="C19" s="590"/>
      <c r="D19" s="593" t="s">
        <v>2</v>
      </c>
      <c r="E19" s="594"/>
      <c r="F19" s="594"/>
      <c r="G19" s="594"/>
      <c r="H19" s="59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1"/>
      <c r="C20" s="592"/>
      <c r="D20" s="596"/>
      <c r="E20" s="597"/>
      <c r="F20" s="597"/>
      <c r="G20" s="597"/>
      <c r="H20" s="59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13"/>
      <c r="C21" s="614"/>
      <c r="D21" s="617" t="s">
        <v>3</v>
      </c>
      <c r="E21" s="618"/>
      <c r="F21" s="618"/>
      <c r="G21" s="618"/>
      <c r="H21" s="61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15"/>
      <c r="C22" s="616"/>
      <c r="D22" s="596"/>
      <c r="E22" s="597"/>
      <c r="F22" s="597"/>
      <c r="G22" s="597"/>
      <c r="H22" s="59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03"/>
      <c r="C23" s="604"/>
      <c r="D23" s="607" t="s">
        <v>4</v>
      </c>
      <c r="E23" s="608"/>
      <c r="F23" s="608"/>
      <c r="G23" s="608"/>
      <c r="H23" s="60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05"/>
      <c r="C24" s="606"/>
      <c r="D24" s="610"/>
      <c r="E24" s="611"/>
      <c r="F24" s="611"/>
      <c r="G24" s="611"/>
      <c r="H24" s="61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26" t="s">
        <v>5</v>
      </c>
      <c r="E25" s="627"/>
      <c r="F25" s="627"/>
      <c r="G25" s="627"/>
      <c r="H25" s="62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26" t="s">
        <v>6</v>
      </c>
      <c r="E26" s="627"/>
      <c r="F26" s="627"/>
      <c r="G26" s="627"/>
      <c r="H26" s="62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4" t="s">
        <v>7</v>
      </c>
      <c r="C27" s="625"/>
      <c r="D27" s="626" t="s">
        <v>8</v>
      </c>
      <c r="E27" s="627"/>
      <c r="F27" s="627"/>
      <c r="G27" s="627"/>
      <c r="H27" s="62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99" t="s">
        <v>9</v>
      </c>
      <c r="C28" s="600"/>
      <c r="D28" s="601" t="s">
        <v>10</v>
      </c>
      <c r="E28" s="601"/>
      <c r="F28" s="601"/>
      <c r="G28" s="601"/>
      <c r="H28" s="602"/>
      <c r="I28" s="25"/>
      <c r="J28" s="578" t="s">
        <v>11</v>
      </c>
      <c r="K28" s="578"/>
      <c r="L28" s="578"/>
      <c r="M28" s="578"/>
      <c r="N28" s="578"/>
      <c r="O28" s="578"/>
      <c r="P28" s="578"/>
      <c r="Q28" s="578"/>
      <c r="R28" s="578"/>
      <c r="S28" s="25"/>
      <c r="T28" s="25"/>
      <c r="U28" s="25"/>
      <c r="V28" s="25"/>
      <c r="W28" s="25"/>
      <c r="X28" s="25"/>
      <c r="Y28" s="25"/>
      <c r="Z28" s="25"/>
      <c r="AA28" s="25"/>
      <c r="AB28" s="25"/>
      <c r="AC28" s="25"/>
      <c r="AD28" s="25"/>
    </row>
    <row r="29" spans="1:30" ht="24" customHeight="1" thickBot="1">
      <c r="A29" s="25"/>
      <c r="B29" s="620"/>
      <c r="C29" s="621"/>
      <c r="D29" s="622" t="s">
        <v>12</v>
      </c>
      <c r="E29" s="622"/>
      <c r="F29" s="622"/>
      <c r="G29" s="622"/>
      <c r="H29" s="62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31" t="s">
        <v>13</v>
      </c>
      <c r="C2" s="632"/>
      <c r="D2" s="260" t="s">
        <v>14</v>
      </c>
      <c r="E2" s="40"/>
      <c r="F2" s="25"/>
      <c r="G2" s="25"/>
      <c r="H2" s="25"/>
      <c r="I2" s="25"/>
      <c r="J2" s="25"/>
      <c r="K2" s="25"/>
    </row>
    <row r="3" spans="1:11" ht="42" customHeight="1">
      <c r="A3" s="25"/>
      <c r="B3" s="633" t="s">
        <v>15</v>
      </c>
      <c r="C3" s="634"/>
      <c r="D3" s="31" t="s">
        <v>1051</v>
      </c>
      <c r="E3" s="25"/>
      <c r="F3" s="25"/>
      <c r="G3" s="25"/>
      <c r="H3" s="25"/>
      <c r="I3" s="25"/>
      <c r="J3" s="25"/>
      <c r="K3" s="25"/>
    </row>
    <row r="4" spans="1:11" ht="42" customHeight="1">
      <c r="A4" s="25"/>
      <c r="B4" s="629" t="s">
        <v>16</v>
      </c>
      <c r="C4" s="630"/>
      <c r="D4" s="32" t="s">
        <v>1052</v>
      </c>
      <c r="E4" s="25"/>
      <c r="F4" s="25"/>
      <c r="G4" s="25"/>
      <c r="H4" s="25"/>
      <c r="I4" s="25"/>
      <c r="J4" s="25"/>
      <c r="K4" s="25"/>
    </row>
    <row r="5" spans="1:11" ht="42" customHeight="1">
      <c r="A5" s="25"/>
      <c r="B5" s="629" t="s">
        <v>17</v>
      </c>
      <c r="C5" s="630"/>
      <c r="D5" s="32" t="s">
        <v>1053</v>
      </c>
      <c r="E5" s="25"/>
      <c r="F5" s="25"/>
      <c r="G5" s="25"/>
      <c r="H5" s="25"/>
      <c r="I5" s="25"/>
      <c r="J5" s="25"/>
      <c r="K5" s="25"/>
    </row>
    <row r="6" spans="1:11" ht="42" customHeight="1">
      <c r="A6" s="25"/>
      <c r="B6" s="629" t="s">
        <v>18</v>
      </c>
      <c r="C6" s="630"/>
      <c r="D6" s="32" t="s">
        <v>460</v>
      </c>
      <c r="E6" s="25"/>
      <c r="F6" s="25"/>
      <c r="G6" s="25"/>
      <c r="H6" s="25"/>
      <c r="I6" s="25"/>
      <c r="J6" s="25"/>
      <c r="K6" s="25"/>
    </row>
    <row r="7" spans="1:11" ht="42" customHeight="1">
      <c r="A7" s="25"/>
      <c r="B7" s="629" t="s">
        <v>19</v>
      </c>
      <c r="C7" s="630"/>
      <c r="D7" s="32" t="s">
        <v>1054</v>
      </c>
      <c r="E7" s="25"/>
      <c r="F7" s="25"/>
      <c r="G7" s="25"/>
      <c r="H7" s="25"/>
      <c r="I7" s="25"/>
      <c r="J7" s="25"/>
      <c r="K7" s="25"/>
    </row>
    <row r="8" spans="1:11" ht="42" customHeight="1">
      <c r="A8" s="25"/>
      <c r="B8" s="629" t="s">
        <v>20</v>
      </c>
      <c r="C8" s="630"/>
      <c r="D8" s="32" t="s">
        <v>1055</v>
      </c>
      <c r="E8" s="25"/>
      <c r="F8" s="25"/>
      <c r="G8" s="25"/>
      <c r="H8" s="25"/>
      <c r="I8" s="25"/>
      <c r="J8" s="25"/>
      <c r="K8" s="25"/>
    </row>
    <row r="9" spans="1:11" ht="42" customHeight="1">
      <c r="A9" s="25"/>
      <c r="B9" s="629" t="s">
        <v>21</v>
      </c>
      <c r="C9" s="630"/>
      <c r="D9" s="287" t="s">
        <v>1056</v>
      </c>
      <c r="E9" s="25"/>
      <c r="F9" s="25"/>
      <c r="G9" s="25"/>
      <c r="H9" s="25"/>
      <c r="I9" s="25"/>
      <c r="J9" s="25"/>
      <c r="K9" s="25"/>
    </row>
    <row r="10" spans="1:11" ht="42" customHeight="1">
      <c r="A10" s="25"/>
      <c r="B10" s="629" t="s">
        <v>22</v>
      </c>
      <c r="C10" s="630"/>
      <c r="D10" s="32"/>
      <c r="E10" s="25"/>
      <c r="F10" s="25"/>
      <c r="G10" s="25"/>
      <c r="H10" s="25"/>
      <c r="I10" s="25"/>
      <c r="J10" s="25"/>
      <c r="K10" s="25"/>
    </row>
    <row r="11" spans="1:11" ht="42" customHeight="1" thickBot="1">
      <c r="A11" s="25"/>
      <c r="B11" s="635" t="s">
        <v>23</v>
      </c>
      <c r="C11" s="636"/>
      <c r="D11" s="201" t="s">
        <v>1057</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8" t="s">
        <v>25</v>
      </c>
      <c r="C13" s="147" t="s">
        <v>1043</v>
      </c>
      <c r="D13" s="33">
        <v>10</v>
      </c>
      <c r="E13" s="642" t="str">
        <f>IF(D13&lt;10,"Caution - % target reduced below default ▲",IF(D13&gt;10,"Caution -Target increased above default ⚠",""))</f>
        <v/>
      </c>
      <c r="F13" s="643"/>
      <c r="G13" s="643"/>
      <c r="H13" s="643"/>
      <c r="I13" s="643"/>
      <c r="J13" s="435"/>
      <c r="K13" s="25"/>
    </row>
    <row r="14" spans="1:11" ht="42" customHeight="1">
      <c r="A14" s="25"/>
      <c r="B14" s="639"/>
      <c r="C14" s="148" t="s">
        <v>1044</v>
      </c>
      <c r="D14" s="34">
        <v>10</v>
      </c>
      <c r="E14" s="642" t="str">
        <f t="shared" ref="E14:E15" si="0">IF(D14&lt;10,"Caution - % target reduced below default ▲",IF(D14&gt;10,"Caution -Target increased above default ⚠",""))</f>
        <v/>
      </c>
      <c r="F14" s="643"/>
      <c r="G14" s="643"/>
      <c r="H14" s="643"/>
      <c r="I14" s="643"/>
      <c r="J14" s="25"/>
      <c r="K14" s="25"/>
    </row>
    <row r="15" spans="1:11" ht="42" customHeight="1" thickBot="1">
      <c r="A15" s="25"/>
      <c r="B15" s="640"/>
      <c r="C15" s="149" t="s">
        <v>26</v>
      </c>
      <c r="D15" s="35">
        <v>10</v>
      </c>
      <c r="E15" s="642" t="str">
        <f t="shared" si="0"/>
        <v/>
      </c>
      <c r="F15" s="643"/>
      <c r="G15" s="643"/>
      <c r="H15" s="643"/>
      <c r="I15" s="643"/>
      <c r="J15" s="25"/>
      <c r="K15" s="25"/>
    </row>
    <row r="16" spans="1:11" ht="36.6" customHeight="1" thickBot="1">
      <c r="A16" s="25"/>
      <c r="B16" s="153"/>
      <c r="C16" s="153"/>
      <c r="D16" s="501"/>
      <c r="E16" s="25"/>
      <c r="F16" s="25"/>
      <c r="G16" s="25"/>
      <c r="H16" s="25"/>
      <c r="I16" s="25"/>
      <c r="J16" s="25"/>
      <c r="K16" s="25"/>
    </row>
    <row r="17" spans="1:11" ht="40.9" customHeight="1">
      <c r="A17" s="25"/>
      <c r="B17" s="638" t="s">
        <v>1028</v>
      </c>
      <c r="C17" s="147" t="s">
        <v>1045</v>
      </c>
      <c r="D17" s="33">
        <v>0</v>
      </c>
      <c r="E17" s="641" t="str">
        <f>IF(D17=0,"","Unit increase Targets must be agreed with LPA ⚠")</f>
        <v/>
      </c>
      <c r="F17" s="641"/>
      <c r="G17" s="641"/>
      <c r="H17" s="641"/>
      <c r="I17" s="641"/>
      <c r="J17" s="25"/>
      <c r="K17" s="25"/>
    </row>
    <row r="18" spans="1:11" ht="40.9" customHeight="1">
      <c r="A18" s="25"/>
      <c r="B18" s="639"/>
      <c r="C18" s="148" t="s">
        <v>27</v>
      </c>
      <c r="D18" s="34">
        <v>0</v>
      </c>
      <c r="E18" s="641" t="str">
        <f t="shared" ref="E18:E19" si="1">IF(D18=0,"","Unit increase Targets must be agreed with LPA ⚠")</f>
        <v/>
      </c>
      <c r="F18" s="641"/>
      <c r="G18" s="641"/>
      <c r="H18" s="641"/>
      <c r="I18" s="641"/>
      <c r="J18" s="25"/>
      <c r="K18" s="25"/>
    </row>
    <row r="19" spans="1:11" ht="40.9" customHeight="1" thickBot="1">
      <c r="A19" s="25"/>
      <c r="B19" s="640"/>
      <c r="C19" s="149" t="s">
        <v>28</v>
      </c>
      <c r="D19" s="35">
        <v>0</v>
      </c>
      <c r="E19" s="641" t="str">
        <f t="shared" si="1"/>
        <v/>
      </c>
      <c r="F19" s="641"/>
      <c r="G19" s="641"/>
      <c r="H19" s="641"/>
      <c r="I19" s="641"/>
      <c r="J19" s="25"/>
      <c r="K19" s="25"/>
    </row>
    <row r="20" spans="1:11" ht="23.45" customHeight="1">
      <c r="A20" s="25"/>
      <c r="B20" s="25"/>
      <c r="C20" s="25"/>
      <c r="D20" s="25"/>
      <c r="E20" s="153"/>
      <c r="F20" s="153"/>
      <c r="G20" s="153"/>
      <c r="H20" s="153"/>
      <c r="I20" s="153"/>
      <c r="J20" s="25"/>
      <c r="K20" s="25"/>
    </row>
    <row r="21" spans="1:11" ht="34.15" customHeight="1" thickBot="1">
      <c r="A21" s="25"/>
      <c r="B21" s="637" t="s">
        <v>29</v>
      </c>
      <c r="C21" s="637"/>
      <c r="D21" s="637"/>
      <c r="E21" s="153"/>
      <c r="F21" s="153"/>
      <c r="G21" s="153"/>
      <c r="H21" s="153"/>
      <c r="I21" s="153"/>
      <c r="J21" s="25"/>
      <c r="K21" s="25"/>
    </row>
    <row r="22" spans="1:11" ht="40.9" customHeight="1">
      <c r="A22" s="25"/>
      <c r="B22" s="633" t="s">
        <v>30</v>
      </c>
      <c r="C22" s="634"/>
      <c r="D22" s="31"/>
      <c r="E22" s="153"/>
      <c r="F22" s="153"/>
      <c r="G22" s="153"/>
      <c r="H22" s="153"/>
      <c r="I22" s="153"/>
      <c r="J22" s="25"/>
      <c r="K22" s="25"/>
    </row>
    <row r="23" spans="1:11" ht="40.9" customHeight="1" thickBot="1">
      <c r="A23" s="25"/>
      <c r="B23" s="635" t="s">
        <v>31</v>
      </c>
      <c r="C23" s="63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385" priority="9" operator="greaterThan">
      <formula>10</formula>
    </cfRule>
    <cfRule type="cellIs" dxfId="384" priority="11" operator="lessThan">
      <formula>10</formula>
    </cfRule>
  </conditionalFormatting>
  <conditionalFormatting sqref="F24:I27 E17:I19">
    <cfRule type="containsText" dxfId="383" priority="2" operator="containsText" text="LPA">
      <formula>NOT(ISERROR(SEARCH("LPA",E17)))</formula>
    </cfRule>
    <cfRule type="containsText" dxfId="382" priority="5" operator="containsText" text="Caution - % changed from default">
      <formula>NOT(ISERROR(SEARCH("Caution - % changed from default",E17)))</formula>
    </cfRule>
  </conditionalFormatting>
  <conditionalFormatting sqref="D17:D19">
    <cfRule type="cellIs" dxfId="381" priority="3" operator="lessThan">
      <formula>0</formula>
    </cfRule>
  </conditionalFormatting>
  <conditionalFormatting sqref="E13:I15">
    <cfRule type="expression" dxfId="380" priority="184">
      <formula>$D13&gt;10</formula>
    </cfRule>
    <cfRule type="expression" dxfId="37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abSelected="1" zoomScale="80" zoomScaleNormal="80" workbookViewId="0"/>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72" t="str">
        <f>IF('2. Site Details'!D4="","Enter site name on 2. Site Details",'2. Site Details'!D4)</f>
        <v>Tilshead Village Hall Ground</v>
      </c>
      <c r="D2" s="573"/>
      <c r="E2" s="25"/>
      <c r="F2" s="25"/>
      <c r="G2" s="25"/>
      <c r="H2" s="25"/>
      <c r="I2" s="25"/>
      <c r="J2" s="25"/>
      <c r="K2" s="25"/>
      <c r="L2" s="25"/>
      <c r="M2" s="25"/>
      <c r="N2" s="25"/>
    </row>
    <row r="3" spans="1:14" ht="24" customHeight="1" thickBot="1">
      <c r="A3" s="53"/>
      <c r="B3" s="199" t="s">
        <v>13</v>
      </c>
      <c r="C3" s="570" t="s">
        <v>33</v>
      </c>
      <c r="D3" s="571"/>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1058</v>
      </c>
      <c r="D6" s="202" t="str">
        <f>IF(AND(C6="Residential",C9="Unknown number"),"Site area must be less than 5,000 m2",IF(C6="","","Site area must be less than 10,000 m2"))</f>
        <v>Site area must be less than 10,000 m2</v>
      </c>
      <c r="E6" s="568" t="str">
        <f>IF(AND(C9="Unknown number", C6="Residential"),"Site area limited by unknown number of dwellings ⚠", "")</f>
        <v/>
      </c>
      <c r="F6" s="569"/>
      <c r="G6" s="569"/>
      <c r="H6" s="569"/>
      <c r="I6" s="25"/>
      <c r="J6" s="25"/>
      <c r="K6" s="25"/>
      <c r="L6" s="25"/>
      <c r="M6" s="25"/>
      <c r="N6" s="25"/>
    </row>
    <row r="7" spans="1:14" ht="42" customHeight="1">
      <c r="A7" s="25"/>
      <c r="B7" s="42" t="s">
        <v>36</v>
      </c>
      <c r="C7" s="151">
        <v>193.17859999999999</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1059</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1059</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574"/>
      <c r="D13" s="575"/>
      <c r="E13" s="25"/>
      <c r="F13" s="25"/>
      <c r="G13" s="25"/>
      <c r="H13" s="25"/>
      <c r="I13" s="25"/>
      <c r="J13" s="25"/>
      <c r="K13" s="25"/>
      <c r="L13" s="25"/>
      <c r="M13" s="25"/>
      <c r="N13" s="25"/>
    </row>
    <row r="14" spans="1:14" ht="79.150000000000006" customHeight="1" thickBot="1">
      <c r="A14" s="25"/>
      <c r="B14" s="36" t="s">
        <v>40</v>
      </c>
      <c r="C14" s="576" t="s">
        <v>1060</v>
      </c>
      <c r="D14" s="577"/>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1059</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1061</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t="s">
        <v>1056</v>
      </c>
      <c r="D20" s="162" t="str">
        <f>IF(C20="","Walkover date required ▲","Site walkover data valid until "&amp;TEXT(EDATE(C20,6),"dd/mm/yy"))</f>
        <v>Site walkover data valid until 13/12/26</v>
      </c>
      <c r="E20" s="25"/>
      <c r="F20" s="25"/>
      <c r="G20" s="25"/>
      <c r="H20" s="25"/>
      <c r="I20" s="25"/>
      <c r="J20" s="25"/>
      <c r="K20" s="25"/>
      <c r="L20" s="25"/>
      <c r="M20" s="25"/>
      <c r="N20" s="25"/>
    </row>
    <row r="21" spans="1:14" ht="39.6" customHeight="1" thickBot="1">
      <c r="A21" s="25"/>
      <c r="B21" s="36" t="s">
        <v>1034</v>
      </c>
      <c r="C21" s="560" t="s">
        <v>1062</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8" priority="59">
      <formula>C11="Within 500m of site boundary"</formula>
    </cfRule>
    <cfRule type="expression" dxfId="417" priority="68">
      <formula>C11="On site"</formula>
    </cfRule>
    <cfRule type="expression" dxfId="416" priority="69">
      <formula>C11="No"</formula>
    </cfRule>
  </conditionalFormatting>
  <conditionalFormatting sqref="D11:D12">
    <cfRule type="expression" dxfId="415" priority="57">
      <formula>C11="On site"</formula>
    </cfRule>
  </conditionalFormatting>
  <conditionalFormatting sqref="C19:C20">
    <cfRule type="expression" dxfId="414" priority="46">
      <formula>C19="Walkover completed by competent person"</formula>
    </cfRule>
    <cfRule type="expression" dxfId="413" priority="47">
      <formula>C19="No walkover undertaken"</formula>
    </cfRule>
    <cfRule type="expression" dxfId="412" priority="48">
      <formula>C19="Walkover completed by qualified ecologist"</formula>
    </cfRule>
  </conditionalFormatting>
  <conditionalFormatting sqref="C12">
    <cfRule type="expression" dxfId="411" priority="37">
      <formula>C12="Within 500m of site boundary"</formula>
    </cfRule>
    <cfRule type="expression" dxfId="410" priority="38">
      <formula>C12="On site"</formula>
    </cfRule>
    <cfRule type="expression" dxfId="409" priority="39">
      <formula>C12="No"</formula>
    </cfRule>
  </conditionalFormatting>
  <conditionalFormatting sqref="D20">
    <cfRule type="containsText" dxfId="408" priority="33" operator="containsText" text="Walkover date required">
      <formula>NOT(ISERROR(SEARCH("Walkover date required",D20)))</formula>
    </cfRule>
  </conditionalFormatting>
  <conditionalFormatting sqref="C8">
    <cfRule type="expression" dxfId="407" priority="19" stopIfTrue="1">
      <formula>IF(LEFT(D8,1)="E","TRUE","")</formula>
    </cfRule>
    <cfRule type="expression" dxfId="406" priority="20">
      <formula>AND(C8&gt;0,C8&lt;=C7,C8&lt;1001)</formula>
    </cfRule>
  </conditionalFormatting>
  <conditionalFormatting sqref="C6">
    <cfRule type="expression" dxfId="405" priority="18">
      <formula>IF(C6&lt;&gt;"",TRUE,"")</formula>
    </cfRule>
  </conditionalFormatting>
  <conditionalFormatting sqref="D7">
    <cfRule type="expression" dxfId="404" priority="17">
      <formula>IF(LEFT(D7,1)="E","TRUE","")</formula>
    </cfRule>
  </conditionalFormatting>
  <conditionalFormatting sqref="D8">
    <cfRule type="containsText" dxfId="403" priority="16" operator="containsText" text="ERROR">
      <formula>NOT(ISERROR(SEARCH("ERROR",D8)))</formula>
    </cfRule>
  </conditionalFormatting>
  <conditionalFormatting sqref="C7">
    <cfRule type="expression" dxfId="402" priority="21">
      <formula>IF(AND(LEFT(D7,1)="E",C7&lt;&gt;""),TRUE,"")</formula>
    </cfRule>
    <cfRule type="expression" dxfId="401" priority="22" stopIfTrue="1">
      <formula>IF(AND(LEFT(D7,1)&lt;&gt;"E",C7&lt;&gt;""),TRUE,"")</formula>
    </cfRule>
  </conditionalFormatting>
  <conditionalFormatting sqref="C9">
    <cfRule type="containsText" dxfId="400" priority="8" operator="containsText" text="Unknown">
      <formula>NOT(ISERROR(SEARCH("Unknown",C9)))</formula>
    </cfRule>
    <cfRule type="expression" dxfId="399" priority="14" stopIfTrue="1">
      <formula>IF(LEFT(D9,1)="E","TRUE","")</formula>
    </cfRule>
    <cfRule type="expression" dxfId="398" priority="15">
      <formula>AND(C9&gt;0,LEFT(D10,1)&lt;&gt;"E")</formula>
    </cfRule>
  </conditionalFormatting>
  <conditionalFormatting sqref="D9">
    <cfRule type="containsText" dxfId="397" priority="13" operator="containsText" text="ERROR">
      <formula>NOT(ISERROR(SEARCH("ERROR",D9)))</formula>
    </cfRule>
  </conditionalFormatting>
  <conditionalFormatting sqref="D11">
    <cfRule type="containsText" dxfId="396" priority="10" operator="containsText" text="Consider">
      <formula>NOT(ISERROR(SEARCH("Consider",D11)))</formula>
    </cfRule>
  </conditionalFormatting>
  <conditionalFormatting sqref="D12">
    <cfRule type="containsText" dxfId="395" priority="9" operator="containsText" text="Consider">
      <formula>NOT(ISERROR(SEARCH("Consider",D12)))</formula>
    </cfRule>
  </conditionalFormatting>
  <conditionalFormatting sqref="E6:H6">
    <cfRule type="notContainsBlanks" dxfId="394" priority="7">
      <formula>LEN(TRIM(E6))&gt;0</formula>
    </cfRule>
  </conditionalFormatting>
  <conditionalFormatting sqref="D19">
    <cfRule type="expression" dxfId="393" priority="212">
      <formula>$C$19="Walkover completed by competent person"</formula>
    </cfRule>
    <cfRule type="expression" dxfId="392" priority="213">
      <formula>C19="No walkover undertaken"</formula>
    </cfRule>
  </conditionalFormatting>
  <conditionalFormatting sqref="C16">
    <cfRule type="expression" dxfId="391" priority="4">
      <formula>C16="Within 500m of site boundary"</formula>
    </cfRule>
    <cfRule type="expression" dxfId="390" priority="5">
      <formula>C16="On site"</formula>
    </cfRule>
    <cfRule type="expression" dxfId="389" priority="6">
      <formula>C16="No"</formula>
    </cfRule>
  </conditionalFormatting>
  <conditionalFormatting sqref="D16">
    <cfRule type="containsText" dxfId="388" priority="1" operator="containsText" text="ERROR">
      <formula>NOT(ISERROR(SEARCH("ERROR",D16)))</formula>
    </cfRule>
    <cfRule type="expression" dxfId="387" priority="3">
      <formula>C16="On site"</formula>
    </cfRule>
  </conditionalFormatting>
  <conditionalFormatting sqref="D16">
    <cfRule type="containsText" dxfId="38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Tilshead Village Hall Ground</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Modified grassland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Built linear features</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Modified grassland</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3.2555519999999998E-2</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Tilshead Village Hall Ground</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7.1730879999999997E-2</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6.9478693132366598E-2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-2.2521868676333989E-3</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693" t="s">
        <v>305</v>
      </c>
      <c r="E11" s="694"/>
      <c r="F11" s="713" t="s">
        <v>112</v>
      </c>
      <c r="G11" s="714"/>
      <c r="H11" s="715"/>
      <c r="I11" s="305">
        <v>2.6217000000000001</v>
      </c>
      <c r="J11" s="323">
        <v>0</v>
      </c>
      <c r="K11" s="307">
        <v>0</v>
      </c>
      <c r="L11" s="408">
        <f>IF(C11="","",IFERROR(IF(I11="","",((I11/10000)*V11*X11)*AD11),"Error ▲"))</f>
        <v>1.04868E-3</v>
      </c>
      <c r="M11" s="408">
        <f>IF(I11="","",IF(J11+K11&gt;I11,"Area Error ▲",I11-J11-K11))</f>
        <v>2.6217000000000001</v>
      </c>
      <c r="N11" s="409">
        <f>IFERROR(IF(I11="","",IF(M11="Area Error ▲","Area Error ▲",((M11/10000)*V11*X11)*AD11)),"This intervention is not permitted within the SSM ▲")</f>
        <v>1.04868E-3</v>
      </c>
      <c r="O11" s="67" t="s">
        <v>1063</v>
      </c>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2.6217000000000001</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209</v>
      </c>
      <c r="D12" s="691" t="s">
        <v>331</v>
      </c>
      <c r="E12" s="692"/>
      <c r="F12" s="713" t="s">
        <v>112</v>
      </c>
      <c r="G12" s="714"/>
      <c r="H12" s="715"/>
      <c r="I12" s="305">
        <v>13.8514</v>
      </c>
      <c r="J12" s="306">
        <v>0</v>
      </c>
      <c r="K12" s="307">
        <v>0</v>
      </c>
      <c r="L12" s="301">
        <f t="shared" ref="L12:L30" si="0">IF(C12="","",IFERROR(IF(I12="","",((I12/10000)*V12*X12)*AD12),"Error ▲"))</f>
        <v>0</v>
      </c>
      <c r="M12" s="301">
        <f t="shared" ref="M12:M30" si="1">IF(I12="","",IF(J12+K12&gt;I12,"Area Error ▲",I12-J12-K12))</f>
        <v>13.8514</v>
      </c>
      <c r="N12" s="356">
        <f t="shared" ref="N12:N30" si="2">IFERROR(IF(I12="","",IF(M12="Area Error ▲","Area Error ▲",((M12/10000)*V12*X12)*AD12)),"This intervention is not permitted within the SSM ▲")</f>
        <v>0</v>
      </c>
      <c r="O12" s="68" t="s">
        <v>1063</v>
      </c>
      <c r="P12" s="3"/>
      <c r="Q12" s="25"/>
      <c r="R12" s="741"/>
      <c r="S12" s="25"/>
      <c r="T12" s="787" t="str">
        <f>IF(C12="","",VLOOKUP(D12,'9. All Habitats + Multipliers'!$C$4:$K$102,5,FALSE))</f>
        <v>V.Low</v>
      </c>
      <c r="U12" s="788"/>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13.8514</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c r="A13" s="25"/>
      <c r="B13" s="264">
        <v>3</v>
      </c>
      <c r="C13" s="258" t="s">
        <v>203</v>
      </c>
      <c r="D13" s="691" t="s">
        <v>305</v>
      </c>
      <c r="E13" s="692"/>
      <c r="F13" s="713" t="s">
        <v>112</v>
      </c>
      <c r="G13" s="714"/>
      <c r="H13" s="715"/>
      <c r="I13" s="305">
        <v>176.7055</v>
      </c>
      <c r="J13" s="306">
        <v>0</v>
      </c>
      <c r="K13" s="307">
        <v>0</v>
      </c>
      <c r="L13" s="301">
        <f t="shared" si="0"/>
        <v>7.0682200000000001E-2</v>
      </c>
      <c r="M13" s="301">
        <f t="shared" si="1"/>
        <v>176.7055</v>
      </c>
      <c r="N13" s="356">
        <f t="shared" si="2"/>
        <v>7.0682200000000001E-2</v>
      </c>
      <c r="O13" s="68" t="s">
        <v>1063</v>
      </c>
      <c r="P13" s="3"/>
      <c r="Q13" s="25"/>
      <c r="R13" s="741"/>
      <c r="S13" s="25"/>
      <c r="T13" s="787" t="str">
        <f>IF(C13="","",VLOOKUP(D13,'9. All Habitats + Multipliers'!$C$4:$K$102,5,FALSE))</f>
        <v>Low</v>
      </c>
      <c r="U13" s="788"/>
      <c r="V13" s="94">
        <f>IF(T13="","",VLOOKUP(T13,'11. Lists'!$B$47:$D$49,2,FALSE))</f>
        <v>2</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176.7055</v>
      </c>
      <c r="AH13" s="511" t="str">
        <f>IF(T13="","",VLOOKUP(T13,'11. Lists'!$B$47:$D$49,3,FALSE))</f>
        <v>Same distinctiveness or better habitat required</v>
      </c>
      <c r="AI13" s="545" t="str">
        <f>IF(D13="","",VLOOKUP(D13,'10. Condition and Temporal'!$B$6:$L$103,4,FALSE))</f>
        <v>Modified grassland, Other lowland acid grassland, Other neutral grassland, Upland acid grassland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11" t="s">
        <v>91</v>
      </c>
      <c r="E31" s="712"/>
      <c r="F31" s="779" t="s">
        <v>112</v>
      </c>
      <c r="G31" s="780"/>
      <c r="H31" s="781"/>
      <c r="I31" s="324">
        <f>I99</f>
        <v>40.694399999999995</v>
      </c>
      <c r="J31" s="325">
        <f>L99</f>
        <v>40.694399999999995</v>
      </c>
      <c r="K31" s="426">
        <v>0</v>
      </c>
      <c r="L31" s="405">
        <f>IF(C31="","",((I31/10000)*V31*X31)*AD31)</f>
        <v>3.2555519999999998E-2</v>
      </c>
      <c r="M31" s="412">
        <f>IF(C31="","",I31-J31-K31)</f>
        <v>0</v>
      </c>
      <c r="N31" s="413">
        <f>IF(C31="","",((M31/10000)*V31*X31)*AD31)</f>
        <v>0</v>
      </c>
      <c r="O31" s="13" t="s">
        <v>1063</v>
      </c>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Area/compensation not in local strategy/ no local strategy</v>
      </c>
      <c r="AC31" s="100" t="str">
        <f>IF(AB31="","",VLOOKUP(AB31,'11. Lists'!$F$36:$H$38,2,FALSE))</f>
        <v>Low Strategic Significance</v>
      </c>
      <c r="AD31" s="99">
        <f>IF(AB31="","",VLOOKUP(AB31,'11. Lists'!$F$36:$H$38,3,FALSE))</f>
        <v>1</v>
      </c>
      <c r="AE31" s="544">
        <f>IF(D31="","",((J31/10000)*V31*X31)*(AD31))</f>
        <v>3.2555519999999998E-2</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193.17859999999999</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0.1042864</v>
      </c>
      <c r="M32" s="319">
        <f>SUMIFS(M11:M30,D11:D30,"&lt;&gt;"&amp;'11. Lists'!Q10,D11:D30,"&lt;&gt;"&amp;'11. Lists'!Q11,D11:D30,"&lt;&gt;"&amp;'11. Lists'!I4,D11:D30,"&lt;&gt;"&amp;'11. Lists'!I2,D11:D30,"&lt;&gt;"&amp;'11. Lists'!I3)</f>
        <v>193.17859999999999</v>
      </c>
      <c r="N32" s="280">
        <f>SUM(N11:N31)</f>
        <v>7.1730879999999997E-2</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7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2.2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203</v>
      </c>
      <c r="D40" s="73" t="s">
        <v>307</v>
      </c>
      <c r="E40" s="342" t="str">
        <f>IF(D40="","",VLOOKUP(D40,'10. Condition and Temporal'!$B$6:$D$103,3,FALSE))</f>
        <v>Moderate, Good</v>
      </c>
      <c r="F40" s="722" t="s">
        <v>383</v>
      </c>
      <c r="G40" s="723"/>
      <c r="H40" s="72" t="s">
        <v>112</v>
      </c>
      <c r="I40" s="724">
        <v>7.5811999999999999</v>
      </c>
      <c r="J40" s="725"/>
      <c r="K40" s="726"/>
      <c r="L40" s="733">
        <f>IF(C40="","",IFERROR(IF(I40="","",((I40/10000)*(V40*X40))*(AH40*AF40)*AD40),"This intervention is not permitted within the SSM ▲"))</f>
        <v>6.3707759725980468E-3</v>
      </c>
      <c r="M40" s="697"/>
      <c r="N40" s="734"/>
      <c r="O40" s="2" t="s">
        <v>1063</v>
      </c>
      <c r="P40" s="1"/>
      <c r="Q40" s="106"/>
      <c r="R40" s="741"/>
      <c r="T40" s="787" t="str">
        <f>IF(C40="","",VLOOKUP(D40,'9. All Habitats + Multipliers'!$C$4:$K$102,5,FALSE))</f>
        <v>Medium</v>
      </c>
      <c r="U40" s="788"/>
      <c r="V40" s="94">
        <f>IF(T40="","",VLOOKUP(T40,'11. Lists'!$B$47:$D$49,2,FALSE))</f>
        <v>4</v>
      </c>
      <c r="W40" s="184" t="str">
        <f>IF(F40="","",F40)</f>
        <v>Good</v>
      </c>
      <c r="X40" s="94">
        <f>IF(W40="","",VLOOKUP(W40,'11. Lists'!$F$47:$G$51,2,FALSE))</f>
        <v>3</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10</v>
      </c>
      <c r="AF40" s="107">
        <f>IF(AE40="","",VLOOKUP(AE40,'11. Lists'!$I$47:$K$80,3,FALSE))</f>
        <v>0.70028227419999989</v>
      </c>
      <c r="AG40" s="93" t="str">
        <f>IF(D40="","",VLOOKUP(D40,'9. All Habitats + Multipliers'!$C$4:$K$102,7,FALSE))</f>
        <v>Low</v>
      </c>
      <c r="AH40" s="94">
        <f>IF(AG40="","",VLOOKUP(AG40,'11. Lists'!$J$35:$K$38,2,FALSE))</f>
        <v>1</v>
      </c>
    </row>
    <row r="41" spans="2:34" s="25" customFormat="1" ht="30">
      <c r="B41" s="264">
        <v>2</v>
      </c>
      <c r="C41" s="77" t="s">
        <v>203</v>
      </c>
      <c r="D41" s="73" t="s">
        <v>307</v>
      </c>
      <c r="E41" s="342" t="str">
        <f>IF(D41="","",VLOOKUP(D41,'10. Condition and Temporal'!$B$6:$D$103,3,FALSE))</f>
        <v>Moderate, Good</v>
      </c>
      <c r="F41" s="702" t="s">
        <v>383</v>
      </c>
      <c r="G41" s="703"/>
      <c r="H41" s="71" t="s">
        <v>112</v>
      </c>
      <c r="I41" s="724">
        <v>10.9801</v>
      </c>
      <c r="J41" s="725"/>
      <c r="K41" s="726"/>
      <c r="L41" s="733">
        <f t="shared" ref="L41:L59" si="7">IF(C41="","",IFERROR(IF(I41="","",((I41/10000)*(V41*X41))*(AH41*AF41)*AD41),"This intervention is not permitted within the SSM ▲"))</f>
        <v>9.2270032787321026E-3</v>
      </c>
      <c r="M41" s="697"/>
      <c r="N41" s="734"/>
      <c r="O41" s="61" t="s">
        <v>1063</v>
      </c>
      <c r="P41" s="12"/>
      <c r="Q41" s="106"/>
      <c r="R41" s="741"/>
      <c r="T41" s="787" t="str">
        <f>IF(C41="","",VLOOKUP(D41,'9. All Habitats + Multipliers'!$C$4:$K$102,5,FALSE))</f>
        <v>Medium</v>
      </c>
      <c r="U41" s="788"/>
      <c r="V41" s="94">
        <f>IF(T41="","",VLOOKUP(T41,'11. Lists'!$B$47:$D$49,2,FALSE))</f>
        <v>4</v>
      </c>
      <c r="W41" s="184" t="str">
        <f>IF(F41="","",F41)</f>
        <v>Good</v>
      </c>
      <c r="X41" s="94">
        <f>IF(W41="","",VLOOKUP(W41,'11. Lists'!$F$47:$G$51,2,FALSE))</f>
        <v>3</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10</v>
      </c>
      <c r="AF41" s="107">
        <f>IF(AE41="","",VLOOKUP(AE41,'11. Lists'!$I$47:$K$80,3,FALSE))</f>
        <v>0.70028227419999989</v>
      </c>
      <c r="AG41" s="93" t="str">
        <f>IF(D41="","",VLOOKUP(D41,'9. All Habitats + Multipliers'!$C$4:$K$102,7,FALSE))</f>
        <v>Low</v>
      </c>
      <c r="AH41" s="94">
        <f>IF(AG41="","",VLOOKUP(AG41,'11. Lists'!$J$35:$K$38,2,FALSE))</f>
        <v>1</v>
      </c>
    </row>
    <row r="42" spans="2:34" s="25" customFormat="1" ht="30">
      <c r="B42" s="264">
        <v>3</v>
      </c>
      <c r="C42" s="77" t="s">
        <v>209</v>
      </c>
      <c r="D42" s="73" t="s">
        <v>331</v>
      </c>
      <c r="E42" s="342" t="str">
        <f>IF(D42="","",VLOOKUP(D42,'10. Condition and Temporal'!$B$6:$D$103,3,FALSE))</f>
        <v>N/A - Other</v>
      </c>
      <c r="F42" s="702" t="s">
        <v>386</v>
      </c>
      <c r="G42" s="703"/>
      <c r="H42" s="71" t="s">
        <v>112</v>
      </c>
      <c r="I42" s="724">
        <v>63.0608</v>
      </c>
      <c r="J42" s="725"/>
      <c r="K42" s="726"/>
      <c r="L42" s="733">
        <f t="shared" si="7"/>
        <v>0</v>
      </c>
      <c r="M42" s="697"/>
      <c r="N42" s="734"/>
      <c r="O42" s="61" t="s">
        <v>1063</v>
      </c>
      <c r="P42" s="12"/>
      <c r="Q42" s="106"/>
      <c r="R42" s="741"/>
      <c r="T42" s="787" t="str">
        <f>IF(C42="","",VLOOKUP(D42,'9. All Habitats + Multipliers'!$C$4:$K$102,5,FALSE))</f>
        <v>V.Low</v>
      </c>
      <c r="U42" s="788"/>
      <c r="V42" s="94">
        <f>IF(T42="","",VLOOKUP(T42,'11. Lists'!$B$47:$D$49,2,FALSE))</f>
        <v>0</v>
      </c>
      <c r="W42" s="184"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30">
      <c r="B43" s="264">
        <v>4</v>
      </c>
      <c r="C43" s="77" t="s">
        <v>203</v>
      </c>
      <c r="D43" s="73" t="s">
        <v>307</v>
      </c>
      <c r="E43" s="342" t="str">
        <f>IF(D43="","",VLOOKUP(D43,'10. Condition and Temporal'!$B$6:$D$103,3,FALSE))</f>
        <v>Moderate, Good</v>
      </c>
      <c r="F43" s="702" t="s">
        <v>383</v>
      </c>
      <c r="G43" s="703"/>
      <c r="H43" s="71" t="s">
        <v>112</v>
      </c>
      <c r="I43" s="724">
        <v>4.6166</v>
      </c>
      <c r="J43" s="725"/>
      <c r="K43" s="726"/>
      <c r="L43" s="733">
        <f t="shared" si="7"/>
        <v>3.8795077764860637E-3</v>
      </c>
      <c r="M43" s="697"/>
      <c r="N43" s="734"/>
      <c r="O43" s="61" t="s">
        <v>1063</v>
      </c>
      <c r="P43" s="12"/>
      <c r="Q43" s="106"/>
      <c r="R43" s="741"/>
      <c r="T43" s="787" t="str">
        <f>IF(C43="","",VLOOKUP(D43,'9. All Habitats + Multipliers'!$C$4:$K$102,5,FALSE))</f>
        <v>Medium</v>
      </c>
      <c r="U43" s="788"/>
      <c r="V43" s="94">
        <f>IF(T43="","",VLOOKUP(T43,'11. Lists'!$B$47:$D$49,2,FALSE))</f>
        <v>4</v>
      </c>
      <c r="W43" s="184" t="str">
        <f>IF(F43="","",F43)</f>
        <v>Good</v>
      </c>
      <c r="X43" s="94">
        <f>IF(W43="","",VLOOKUP(W43,'11. Lists'!$F$47:$G$51,2,FALSE))</f>
        <v>3</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10</v>
      </c>
      <c r="AF43" s="107">
        <f>IF(AE43="","",VLOOKUP(AE43,'11. Lists'!$I$47:$K$80,3,FALSE))</f>
        <v>0.70028227419999989</v>
      </c>
      <c r="AG43" s="93" t="str">
        <f>IF(D43="","",VLOOKUP(D43,'9. All Habitats + Multipliers'!$C$4:$K$102,7,FALSE))</f>
        <v>Low</v>
      </c>
      <c r="AH43" s="94">
        <f>IF(AG43="","",VLOOKUP(AG43,'11. Lists'!$J$35:$K$38,2,FALSE))</f>
        <v>1</v>
      </c>
    </row>
    <row r="44" spans="2:34" s="25" customFormat="1" ht="30">
      <c r="B44" s="264">
        <v>5</v>
      </c>
      <c r="C44" s="77" t="s">
        <v>203</v>
      </c>
      <c r="D44" s="73" t="s">
        <v>305</v>
      </c>
      <c r="E44" s="342" t="str">
        <f>IF(D44="","",VLOOKUP(D44,'10. Condition and Temporal'!$B$6:$D$103,3,FALSE))</f>
        <v>Moderate, Good</v>
      </c>
      <c r="F44" s="702" t="s">
        <v>383</v>
      </c>
      <c r="G44" s="703"/>
      <c r="H44" s="71" t="s">
        <v>112</v>
      </c>
      <c r="I44" s="724">
        <v>106.93989999999999</v>
      </c>
      <c r="J44" s="725"/>
      <c r="K44" s="726"/>
      <c r="L44" s="733">
        <f t="shared" si="7"/>
        <v>5.0001406104550387E-2</v>
      </c>
      <c r="M44" s="697"/>
      <c r="N44" s="734"/>
      <c r="O44" s="61" t="s">
        <v>1063</v>
      </c>
      <c r="P44" s="12"/>
      <c r="R44" s="741"/>
      <c r="T44" s="787" t="str">
        <f>IF(C44="","",VLOOKUP(D44,'9. All Habitats + Multipliers'!$C$4:$K$102,5,FALSE))</f>
        <v>Low</v>
      </c>
      <c r="U44" s="788"/>
      <c r="V44" s="94">
        <f>IF(T44="","",VLOOKUP(T44,'11. Lists'!$B$47:$D$49,2,FALSE))</f>
        <v>2</v>
      </c>
      <c r="W44" s="184" t="str">
        <f t="shared" ref="W44:W59" si="9">IF(F44="","",F44)</f>
        <v>Good</v>
      </c>
      <c r="X44" s="94">
        <f>IF(W44="","",VLOOKUP(W44,'11. Lists'!$F$47:$G$51,2,FALSE))</f>
        <v>3</v>
      </c>
      <c r="Y44" s="48"/>
      <c r="Z44" s="48"/>
      <c r="AA44" s="48"/>
      <c r="AB44" s="93" t="str">
        <f t="shared" si="8"/>
        <v>Area/compensation not in local strategy/ no local strategy</v>
      </c>
      <c r="AC44" s="95" t="str">
        <f>IF(AB44="","",VLOOKUP(AB44,'11. Lists'!$F$36:$H$38,2,FALSE))</f>
        <v>Low Strategic Significance</v>
      </c>
      <c r="AD44" s="94">
        <f>IF(AB44="","",VLOOKUP(AB44,'11. Lists'!$F$36:$H$38,3,FALSE))</f>
        <v>1</v>
      </c>
      <c r="AE44" s="93">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7</v>
      </c>
      <c r="AF44" s="107">
        <f>IF(AE44="","",VLOOKUP(AE44,'11. Lists'!$I$47:$K$80,3,FALSE))</f>
        <v>0.77927580669999996</v>
      </c>
      <c r="AG44" s="93" t="str">
        <f>IF(D44="","",VLOOKUP(D44,'9. All Habitats + Multipliers'!$C$4:$K$102,7,FALSE))</f>
        <v>Low</v>
      </c>
      <c r="AH44" s="94">
        <f>IF(AG44="","",VLOOKUP(AG44,'11. Lists'!$J$35:$K$38,2,FALSE))</f>
        <v>1</v>
      </c>
    </row>
    <row r="45" spans="2:34" s="25" customFormat="1" ht="15.7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5">
        <f>SUMIFS(I40:I59,D40:D59,"&lt;&gt;"&amp;'11. Lists'!Q10,D40:D59,"&lt;&gt;"&amp;'11. Lists'!Q11,D40:D59,"&lt;&gt;"&amp;'11. Lists'!I4,D40:D59,"&lt;&gt;"&amp;'11. Lists'!I2,D40:D59,"&lt;&gt;"&amp;'11. Lists'!I3)</f>
        <v>193.17860000000002</v>
      </c>
      <c r="J61" s="736"/>
      <c r="K61" s="737"/>
      <c r="L61" s="738">
        <f>SUM(L40:N60)</f>
        <v>6.9478693132366598E-2</v>
      </c>
      <c r="M61" s="739"/>
      <c r="N61" s="740"/>
      <c r="R61" s="741"/>
    </row>
    <row r="62" spans="2:53" s="25" customFormat="1" ht="15.7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193.17860000000002</v>
      </c>
      <c r="R63" s="741"/>
      <c r="BA63" s="50" t="s">
        <v>114</v>
      </c>
    </row>
    <row r="64" spans="2:53" s="25" customFormat="1" ht="21">
      <c r="B64" s="57" t="s">
        <v>115</v>
      </c>
      <c r="D64" s="88"/>
      <c r="H64" s="26"/>
      <c r="R64" s="741"/>
      <c r="BA64" s="50" t="s">
        <v>116</v>
      </c>
    </row>
    <row r="65" spans="1:76" s="25" customFormat="1" ht="15.7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Area/compensation not in local strategy/ no local strategy</v>
      </c>
      <c r="AC88" s="173">
        <f t="shared" si="17"/>
        <v>1</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7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v>1</v>
      </c>
      <c r="E95" s="838">
        <v>1</v>
      </c>
      <c r="F95" s="839"/>
      <c r="G95" s="680">
        <v>0</v>
      </c>
      <c r="H95" s="681"/>
      <c r="I95" s="835">
        <f>D95*'11. Lists'!P47</f>
        <v>40.694399999999995</v>
      </c>
      <c r="J95" s="830"/>
      <c r="K95" s="831"/>
      <c r="L95" s="829">
        <f>IF(E95&gt;D95, "Error ▲", E95*'11. Lists'!P47)</f>
        <v>40.694399999999995</v>
      </c>
      <c r="M95" s="830"/>
      <c r="N95" s="831"/>
      <c r="O95" s="829">
        <f>G95*'11. Lists'!P47</f>
        <v>0</v>
      </c>
      <c r="P95" s="845"/>
      <c r="R95" s="741"/>
    </row>
    <row r="96" spans="1:76" s="25" customFormat="1" ht="24.6" customHeight="1">
      <c r="B96" s="671" t="s">
        <v>184</v>
      </c>
      <c r="C96" s="672"/>
      <c r="D96" s="213">
        <v>0</v>
      </c>
      <c r="E96" s="673">
        <v>0</v>
      </c>
      <c r="F96" s="674"/>
      <c r="G96" s="682">
        <v>0</v>
      </c>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v>0</v>
      </c>
      <c r="E97" s="673">
        <v>0</v>
      </c>
      <c r="F97" s="674"/>
      <c r="G97" s="682">
        <v>0</v>
      </c>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v>0</v>
      </c>
      <c r="E98" s="673">
        <v>0</v>
      </c>
      <c r="F98" s="674"/>
      <c r="G98" s="682">
        <v>0</v>
      </c>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1</v>
      </c>
      <c r="E99" s="816">
        <f>SUM(E95:F98)</f>
        <v>1</v>
      </c>
      <c r="F99" s="817"/>
      <c r="G99" s="816">
        <f>SUM(G95:H98)</f>
        <v>0</v>
      </c>
      <c r="H99" s="844"/>
      <c r="I99" s="817">
        <f>SUM(I95:K98)</f>
        <v>40.694399999999995</v>
      </c>
      <c r="J99" s="828"/>
      <c r="K99" s="828"/>
      <c r="L99" s="828">
        <f>SUM(L95:N98)</f>
        <v>40.694399999999995</v>
      </c>
      <c r="M99" s="828"/>
      <c r="N99" s="828"/>
      <c r="O99" s="816">
        <f>SUM(O95:P98)</f>
        <v>0</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7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Error - Trading Rules Not Satisfied - Insufficient Biodiversity Units Created ▲</v>
      </c>
      <c r="F109" s="803"/>
      <c r="G109" s="803"/>
      <c r="H109" s="803"/>
      <c r="I109" s="804"/>
      <c r="J109" s="157">
        <f>IFERROR(FIND("Error",E109),0)</f>
        <v>1</v>
      </c>
      <c r="R109" s="741"/>
    </row>
    <row r="110" spans="1:18" s="25" customFormat="1">
      <c r="R110" s="741"/>
    </row>
    <row r="111" spans="1:18" s="25" customFormat="1" ht="21">
      <c r="B111" s="57" t="s">
        <v>192</v>
      </c>
      <c r="R111" s="741"/>
    </row>
    <row r="112" spans="1:18" s="25" customFormat="1" ht="15.7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7.1730879999999997E-2</v>
      </c>
      <c r="G116" s="122">
        <f>SUMIFS($L$40:$L$59,$C$40:$C$59,$B116,$T$40:$T$59,$E116)+SUMIFS($L$68:$L$87,AY68:AY87,B116,$AG$68:$AG$87,E116)+SUMIFS($AE$11:$AE$31,$C$11:$C$31,B116,$T$11:$T$31,E116)</f>
        <v>5.0001406104550387E-2</v>
      </c>
      <c r="H116" s="122">
        <f>G116-F116</f>
        <v>-2.1729473895449609E-2</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1.9477287027816214E-2</v>
      </c>
      <c r="H117" s="122">
        <f t="shared" ref="H117:H131" si="54">G117-F117</f>
        <v>1.9477287027816214E-2</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3.2555519999999998E-2</v>
      </c>
      <c r="G135" s="215">
        <f>SUMIFS($L$40:$L$60,$C$40:$C$60,$B134,$T$40:$T$60,$E135)+SUMIFS($L$68:$L$88,$C$68:$C$88,B134,$AG$68:$AG$88,E135)+SUMIFS($AE$11:$AE$31,$C$11:$C$31,B134,$T$11:$T$31,E135)</f>
        <v>3.2555519999999998E-2</v>
      </c>
      <c r="H135" s="215">
        <f>G135-F135</f>
        <v>0</v>
      </c>
      <c r="I135" s="502" t="str">
        <f>IF(F135=0,"N/A",IF(H135&lt;0,"No ▲","Yes ✓"))</f>
        <v>Yes ✓</v>
      </c>
      <c r="J135" s="157">
        <f t="shared" ref="J135:J140" si="55">IF(I135="No ▲",1,0)</f>
        <v>0</v>
      </c>
      <c r="R135" s="741"/>
    </row>
    <row r="136" spans="2:18" s="25" customFormat="1" ht="15.6" customHeight="1" thickBot="1">
      <c r="J136" s="157"/>
      <c r="M136" s="26"/>
      <c r="R136" s="741"/>
    </row>
    <row r="137" spans="2:18" s="25" customFormat="1" ht="37.5">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3.2555519999999998E-2</v>
      </c>
      <c r="G138" s="156">
        <f>IF(L61+L89+P1=0,0,SUMIFS($L$40:$L$60,$T$40:$T$60,"Medium")+SUMIFS($L$68:$L$87,$AG$68:$AG$87,"Medium")+SUMIFS($AE$11:$AE$31,$T$11:$T$31,"Medium"))</f>
        <v>5.2032807027816208E-2</v>
      </c>
      <c r="H138" s="122">
        <f>IFERROR(G138-F138,"")</f>
        <v>1.9477287027816211E-2</v>
      </c>
      <c r="I138" s="329" t="str">
        <f>IF(G138="","",IF(H138&gt;=0,"Yes ✓","No ▲"))</f>
        <v>Yes ✓</v>
      </c>
      <c r="J138" s="157">
        <f t="shared" si="55"/>
        <v>0</v>
      </c>
      <c r="R138" s="741" t="s">
        <v>52</v>
      </c>
    </row>
    <row r="139" spans="2:18" s="25" customFormat="1" ht="30.6" customHeight="1">
      <c r="B139" s="753" t="s">
        <v>213</v>
      </c>
      <c r="C139" s="754"/>
      <c r="D139" s="754"/>
      <c r="E139" s="755"/>
      <c r="F139" s="122">
        <f>SUMIFS($L$11:$L$31,$T$11:$T$31,"Low")</f>
        <v>7.1730879999999997E-2</v>
      </c>
      <c r="G139" s="156">
        <f>IF(L61+L89+P1=0,0,SUMIFS($L$40:$L$60,$T$40:$T$60,"Low")+SUMIFS($L$68:$L$88,$AG$68:$AG$88,"Low")+SUMIFS($AE$11:$AE$31,$T$11:$T$31,"Low"))</f>
        <v>5.0001406104550387E-2</v>
      </c>
      <c r="H139" s="122">
        <f>IFERROR(G139-F139,"")</f>
        <v>-2.1729473895449609E-2</v>
      </c>
      <c r="I139" s="329" t="str">
        <f>IF($I$142&gt;=0,"Yes ✓","No ▲")</f>
        <v>No ▲</v>
      </c>
      <c r="J139" s="157">
        <f t="shared" si="55"/>
        <v>1</v>
      </c>
      <c r="R139" s="741"/>
    </row>
    <row r="140" spans="2:18" s="25" customFormat="1" ht="41.25" customHeight="1" thickBot="1">
      <c r="B140" s="756" t="s">
        <v>214</v>
      </c>
      <c r="C140" s="757"/>
      <c r="D140" s="757"/>
      <c r="E140" s="758"/>
      <c r="F140" s="750">
        <f>IFERROR(H138+H139,"")</f>
        <v>-2.2521868676333989E-3</v>
      </c>
      <c r="G140" s="751"/>
      <c r="H140" s="752"/>
      <c r="I140" s="330" t="str">
        <f>IF(F140="","",IF(F140&gt;=0,"Yes ✓","No ▲"))</f>
        <v>No ▲</v>
      </c>
      <c r="J140" s="157">
        <f t="shared" si="55"/>
        <v>1</v>
      </c>
      <c r="R140" s="741"/>
    </row>
    <row r="141" spans="2:18" s="25" customFormat="1">
      <c r="R141" s="741"/>
    </row>
    <row r="142" spans="2:18" s="25" customFormat="1">
      <c r="I142" s="434">
        <f>IF($H$138&gt;0,($H$139+$H$138),$H$139)</f>
        <v>-2.2521868676333989E-3</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Tilshead Village Hall Ground</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4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450000000000003"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30">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2.2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5">
        <f>SUM(I39:K58)</f>
        <v>0</v>
      </c>
      <c r="J59" s="736"/>
      <c r="K59" s="737"/>
      <c r="L59" s="870">
        <f>SUM(L39:N58)</f>
        <v>0</v>
      </c>
      <c r="M59" s="871"/>
      <c r="N59" s="872"/>
      <c r="R59" s="741"/>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7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7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7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75" thickBot="1">
      <c r="E114" s="457">
        <f ca="1">G108+G112</f>
        <v>0</v>
      </c>
      <c r="F114" s="434">
        <f ca="1">IF(G108&lt;0,0,($G$108+$G$112+$G$113))</f>
        <v>0</v>
      </c>
      <c r="I114" s="430"/>
      <c r="R114" s="741"/>
    </row>
    <row r="115" spans="2:18" s="25" customFormat="1" ht="24.75" customHeight="1">
      <c r="B115" s="865" t="s">
        <v>241</v>
      </c>
      <c r="C115" s="572"/>
      <c r="D115" s="572"/>
      <c r="E115" s="572"/>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570"/>
      <c r="D117" s="570"/>
      <c r="E117" s="570"/>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Tilshead Village Hall Ground</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4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2.2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7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7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7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7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75">
      <c r="C108" s="704" t="s">
        <v>259</v>
      </c>
      <c r="D108" s="932"/>
      <c r="E108" s="932"/>
      <c r="F108" s="932"/>
      <c r="G108" s="437">
        <f ca="1">$H$105</f>
        <v>0</v>
      </c>
      <c r="H108" s="431"/>
      <c r="J108" s="430"/>
      <c r="R108" s="741"/>
      <c r="AJ108" s="157"/>
      <c r="AK108" s="157"/>
      <c r="AL108" s="157"/>
      <c r="AM108" s="157"/>
      <c r="AN108" s="157"/>
    </row>
    <row r="109" spans="3:40" s="25" customFormat="1" ht="19.5" thickBot="1">
      <c r="C109" s="858" t="s">
        <v>260</v>
      </c>
      <c r="D109" s="570"/>
      <c r="E109" s="570"/>
      <c r="F109" s="570"/>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572" t="str">
        <f>IF('2. Site Details'!D4="","Enter site name on 2. Site Details",'2. Site Details'!D4)</f>
        <v>Tilshead Village Hall Ground</v>
      </c>
      <c r="E2" s="573"/>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570" t="s">
        <v>261</v>
      </c>
      <c r="E3" s="571"/>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1" t="s">
        <v>262</v>
      </c>
      <c r="C5" s="997"/>
      <c r="D5" s="1007" t="str">
        <f>IF(OR(D27&gt;0,D28&gt;0,D29&gt;0),"BNG Targets Not Met ▲","BNG Targets Met ✓")</f>
        <v>BNG Targets Not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1" t="s">
        <v>263</v>
      </c>
      <c r="C7" s="632"/>
      <c r="D7" s="1004" t="str">
        <f ca="1">IF('5. Area Habitats'!J108+'5. Area Habitats'!J109+'6. Hedges &amp; Lines of Trees'!J97+'7. Watercourses'!J97&gt;0,"Trading Rules Not Satisfied ▲","Trading Rules Satisfied ✓")</f>
        <v>Trading Rules Not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1" t="s">
        <v>264</v>
      </c>
      <c r="C9" s="997"/>
      <c r="D9" s="1008" t="str">
        <f ca="1">IF(OR(D5="BNG Targets Not Met ▲",D7="Trading Rules Not Satisfied ▲"),"Scheme alterations or offsite units required","Check for input errors/rule breaks present in the metric ⚠")</f>
        <v>Scheme alterations or offsite units required</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0.1042864</v>
      </c>
      <c r="E11" s="485"/>
      <c r="F11" s="491">
        <f>('2. Site Details'!$D$13/100)*$D$11</f>
        <v>1.0428640000000001E-2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0.1020342131323666</v>
      </c>
      <c r="E15" s="485"/>
      <c r="F15" s="492">
        <f>D11+F11</f>
        <v>0.11471504</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-2.2521868676333989E-3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-2.1596170427144852E-2</v>
      </c>
      <c r="E23" s="539" t="str" cm="1">
        <f t="array" ref="E23">_xlfn.IFS(D23&gt;=F19,"✓",D23&lt;0,"▲", D23&lt;F19,"⚠")</f>
        <v>▲</v>
      </c>
      <c r="F23" s="491">
        <f>$D$23*100</f>
        <v>-2.1596170427144852</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1.2680826867633402E-2</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0.1042864</v>
      </c>
      <c r="D36" s="51">
        <f>D15</f>
        <v>0.1020342131323666</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19"/>
      <c r="E3" s="68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Catherine Caesar</cp:lastModifiedBy>
  <cp:revision/>
  <cp:lastPrinted>2026-07-12T12:07:02Z</cp:lastPrinted>
  <dcterms:created xsi:type="dcterms:W3CDTF">2020-09-14T13:04:31Z</dcterms:created>
  <dcterms:modified xsi:type="dcterms:W3CDTF">2026-07-14T11:12:25Z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