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updateLinks="never" defaultThemeVersion="166925"/>
  <mc:AlternateContent xmlns:mc="http://schemas.openxmlformats.org/markup-compatibility/2006">
    <mc:Choice Requires="x15">
      <x15ac:absPath xmlns:x15ac="http://schemas.microsoft.com/office/spreadsheetml/2010/11/ac" url="/Users/Nicola/Dropbox/HCS/HCS work/Plymouth Chicken Farm/"/>
    </mc:Choice>
  </mc:AlternateContent>
  <xr:revisionPtr revIDLastSave="0" documentId="13_ncr:1_{D1597B1F-9060-6642-B950-7850FB9204C0}"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0" yWindow="660" windowWidth="25020" windowHeight="19360" tabRatio="801" activeTab="2"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<sst xmlns="http://schemas.openxmlformats.org/spreadsheetml/2006/main" count="3026" uniqueCount="843">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</sst>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CS%20Admin/Timesheets/Nic/C:/Users/DS56/OneDrive%20-%20Ricardo%20Plc/NE%20NN/Copy%20of%20Herefordshire%20Council%20Phosphate%20Budget%20Calculator_Final.xlsx" TargetMode="External"/><Relationship Id="rId1" Type="http://schemas.openxmlformats.org/officeDocument/2006/relationships/externalLinkPath" Target="/Users/Nicola/Dropbox/HCS/HCS%20Admin/Timesheets/Nic/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9" dataDxfId="128">
  <autoFilter ref="A10:B15" xr:uid="{7EBF9311-A278-4083-BF4D-937B4AAC2ED7}">
    <filterColumn colId="0" hiddenButton="1"/>
    <filterColumn colId="1" hiddenButton="1"/>
  </autoFilter>
  <tableColumns count="2">
    <tableColumn id="1" xr3:uid="{B2BABBBB-B007-4481-A155-B2D1BFED30CB}" name="Topic of each table" dataDxfId="127"/>
    <tableColumn id="2" xr3:uid="{CCC921EE-8CEB-492A-BB39-F2811D4B50BE}" name="Link to each worksheet" dataDxfId="126"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25" dataDxfId="123" headerRowBorderDxfId="124" tableBorderDxfId="122" totalsRowBorderDxfId="121">
  <autoFilter ref="A42:A46" xr:uid="{64981484-4795-461F-A3C7-626CD012A06C}">
    <filterColumn colId="0" hiddenButton="1"/>
  </autoFilter>
  <tableColumns count="1">
    <tableColumn id="1" xr3:uid="{DABB33F1-9955-4DF2-B73F-2381AAEB96BF}" name="Description of the information:" dataDxfId="120"/>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9" dataDxfId="117" headerRowBorderDxfId="118" tableBorderDxfId="116" totalsRowBorderDxfId="115">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4"/>
    <tableColumn id="2" xr3:uid="{D22CDBE7-9B75-4248-A951-0D061DAA9F1C}" name="Data entry column - user inputs required" dataDxfId="113"/>
    <tableColumn id="4" xr3:uid="{20424A8D-23FA-4C1D-B394-6A4A0726E8D6}" name="Additional data entry column  - user inputs may be required" dataDxfId="11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1" dataDxfId="110" tableBorderDxfId="109">
  <autoFilter ref="A15:B23" xr:uid="{B50C45A2-2A77-478E-B226-DC5B3B2EA72E}">
    <filterColumn colId="0" hiddenButton="1"/>
    <filterColumn colId="1" hiddenButton="1"/>
  </autoFilter>
  <tableColumns count="2">
    <tableColumn id="1" xr3:uid="{FA8C78F6-50A3-498F-8975-6D1EC817B86B}" name="Description of values generated" dataDxfId="108"/>
    <tableColumn id="2" xr3:uid="{150A0AA5-FDF2-4BA1-A9A8-36A566F3E6CC}" name="Values generated" dataDxfId="10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6" dataDxfId="104" headerRowBorderDxfId="105" tableBorderDxfId="103" totalsRowBorderDxfId="102">
  <autoFilter ref="A4:B8" xr:uid="{E51AE02F-7B0C-4640-BEBD-8FD46432F29C}">
    <filterColumn colId="0" hiddenButton="1"/>
    <filterColumn colId="1" hiddenButton="1"/>
  </autoFilter>
  <tableColumns count="2">
    <tableColumn id="1" xr3:uid="{C513A266-837A-4378-8552-D156135B549F}" name="Description of required information" dataDxfId="101"/>
    <tableColumn id="2" xr3:uid="{9FEADC6D-D9F7-40A8-AB95-390DAB627A00}" name="Data entry column - user inputs required" dataDxfId="10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9" dataDxfId="98" tableBorderDxfId="9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6"/>
    <tableColumn id="2" xr3:uid="{DA6AF240-7DDF-40CC-B3C9-0A6C10900A68}" name="Area (ha) - user inputs required" dataDxfId="95"/>
    <tableColumn id="4" xr3:uid="{D46D9DE3-2913-45A9-81EF-5C0B16A60B70}" name="Annual nitrogen nutrient export  _x000a_(kg TN/yr)" dataDxfId="94"/>
    <tableColumn id="5" xr3:uid="{B35F3CE8-F7D9-4526-B8D6-064B09EE0E77}" name="Notes on data" dataDxfId="9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134" dataDxfId="133">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132"/>
    <tableColumn id="2" xr3:uid="{2BF0443C-5885-452F-9860-409F1647E1C1}" name="Area (ha) - user inputs required" dataDxfId="131"/>
    <tableColumn id="4" xr3:uid="{D4EA72A6-0C9C-4A1E-8AAC-10EB38F195A8}" name="Annual nitrogen nutrient export_x000a_(kg TN/yr)" dataDxfId="130"/>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8" zoomScaleNormal="100" workbookViewId="0">
      <selection activeCell="A43" sqref="A43"/>
    </sheetView>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A32" sqref="A32"/>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v>46905</v>
      </c>
      <c r="C5" s="18"/>
    </row>
    <row r="6" spans="1:3" ht="20.25" customHeight="1" x14ac:dyDescent="0.2">
      <c r="A6" s="17" t="s">
        <v>69</v>
      </c>
      <c r="B6" s="25">
        <v>2.4</v>
      </c>
      <c r="C6" s="18"/>
    </row>
    <row r="7" spans="1:3" ht="20.25" customHeight="1" x14ac:dyDescent="0.2">
      <c r="A7" s="17" t="s">
        <v>70</v>
      </c>
      <c r="B7" s="26">
        <v>120</v>
      </c>
      <c r="C7" s="18"/>
    </row>
    <row r="8" spans="1:3" ht="20.25" customHeight="1" x14ac:dyDescent="0.2">
      <c r="A8" s="17" t="s">
        <v>71</v>
      </c>
      <c r="B8" s="26">
        <v>5</v>
      </c>
      <c r="C8" s="18"/>
    </row>
    <row r="9" spans="1:3" ht="20.25" customHeight="1" x14ac:dyDescent="0.2">
      <c r="A9" s="17" t="s">
        <v>72</v>
      </c>
      <c r="B9" s="26" t="s">
        <v>834</v>
      </c>
      <c r="C9" s="18"/>
    </row>
    <row r="10" spans="1:3" ht="39.75" customHeight="1" x14ac:dyDescent="0.2">
      <c r="A10" s="17" t="s">
        <v>73</v>
      </c>
      <c r="B10" s="26" t="s">
        <v>197</v>
      </c>
      <c r="C10" s="18"/>
    </row>
    <row r="11" spans="1:3" ht="20.25" customHeight="1" x14ac:dyDescent="0.2">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25</v>
      </c>
      <c r="C11" s="120"/>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Post 2030 WwTW N permit (mg TN/litre):</v>
      </c>
      <c r="B13" s="21">
        <f>IFERROR(IF(AND($B$5&lt;DATE(2030,4,1),(VLOOKUP($B$10,Value_look_up_tables!$A$5:$J$84,5,FALSE))&gt;(VLOOKUP($B$10,Value_look_up_tables!$A$5:$J$84,9,FALSE))), IF(B9="Yes",VLOOKUP(B10,Value_look_up_tables!$A$5:$J$87,10,FALSE),VLOOKUP(B10,Value_look_up_tables!$A$5:$J$87,9,FALSE)),"Not applicable"),"Not applicable")</f>
        <v>8</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Post-2030 wastewater nutrient loading</v>
      </c>
      <c r="B16" s="36"/>
    </row>
    <row r="17" spans="1:2" ht="20.25" customHeight="1" x14ac:dyDescent="0.2">
      <c r="A17" s="17" t="s">
        <v>78</v>
      </c>
      <c r="B17" s="31">
        <f>IF(ISBLANK(B8),0,B6*B8)</f>
        <v>12</v>
      </c>
    </row>
    <row r="18" spans="1:2" ht="20.25" customHeight="1" x14ac:dyDescent="0.2">
      <c r="A18" s="17" t="s">
        <v>79</v>
      </c>
      <c r="B18" s="31">
        <f>IFERROR(B17*B7,0)</f>
        <v>1440</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3.79</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Pre-2030 wastewater nutrient loading</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Annual wastewater TN load (kg TN/yr):</v>
      </c>
      <c r="B21" s="31">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13.15</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abSelected="1" topLeftCell="A2" zoomScaleNormal="100" workbookViewId="0">
      <selection activeCell="A14" sqref="A14"/>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337</v>
      </c>
      <c r="F5" s="37"/>
    </row>
    <row r="6" spans="1:6" ht="23.25" customHeight="1" x14ac:dyDescent="0.2">
      <c r="A6" s="17" t="s">
        <v>84</v>
      </c>
      <c r="B6" s="43" t="s">
        <v>828</v>
      </c>
    </row>
    <row r="7" spans="1:6" ht="23.25" customHeight="1" x14ac:dyDescent="0.2">
      <c r="A7" s="17" t="s">
        <v>85</v>
      </c>
      <c r="B7" s="44" t="s">
        <v>803</v>
      </c>
    </row>
    <row r="8" spans="1:6" ht="23.25" customHeight="1" x14ac:dyDescent="0.2">
      <c r="A8" s="20" t="s">
        <v>86</v>
      </c>
      <c r="B8" s="45" t="s">
        <v>834</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259</v>
      </c>
      <c r="B11" s="25">
        <v>1.4</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139.48918672490356</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1.4</v>
      </c>
      <c r="C28" s="39">
        <f>SUM(C11:C27)</f>
        <v>139.48918672490356</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1.4</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24.138071540099993</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1.4</v>
      </c>
      <c r="C22" s="54">
        <f>SUM(C5:C21)</f>
        <v>24.138071540099993</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3.79</v>
      </c>
    </row>
    <row r="6" spans="1:4" ht="23.25" customHeight="1" x14ac:dyDescent="0.2">
      <c r="A6" s="17" t="s">
        <v>111</v>
      </c>
      <c r="B6" s="72">
        <f>IFERROR(Nutrients_from_future_land_use!C22-SuDS!G30-Nutrients_from_current_land_use!C28,0)</f>
        <v>-115.35111518480358</v>
      </c>
    </row>
    <row r="7" spans="1:4" ht="23.25" customHeight="1" x14ac:dyDescent="0.2">
      <c r="A7" s="17" t="s">
        <v>112</v>
      </c>
      <c r="B7" s="72">
        <f>IFERROR(B5+B6,0)</f>
        <v>-111.56111518480357</v>
      </c>
    </row>
    <row r="8" spans="1:4" ht="23.25" customHeight="1" x14ac:dyDescent="0.2">
      <c r="A8" s="17" t="s">
        <v>113</v>
      </c>
      <c r="B8" s="72">
        <f>IFERROR(IF(B7&lt;0,B7,B7*1.2),0)</f>
        <v>-111.56111518480357</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0</v>
      </c>
    </row>
    <row r="11" spans="1:4" ht="23.25" customHeight="1" x14ac:dyDescent="0.2">
      <c r="A11" s="76" t="str">
        <f>IF(Nutrients_from_wastewater!A20="Not applicable","Not applicable",LEFT(Nutrients_from_wastewater!A20,9)&amp;"nutrient budget")</f>
        <v>Pre-2030 nutrient budget</v>
      </c>
      <c r="B11" s="77"/>
    </row>
    <row r="12" spans="1:4" ht="23.25" customHeight="1" x14ac:dyDescent="0.2">
      <c r="A12" s="71" t="str">
        <f>IF(A11&lt;&gt;"Not applicable","The total annual nitrogen load to mitigate is (kg TN/yr):","Not applicable")</f>
        <v>The total annual nitrogen load to mitigate is (kg TN/yr):</v>
      </c>
      <c r="B12" s="73">
        <f>IF(IFERROR(ROUND((Nutrients_from_wastewater!B21+$B$6)*1.2,2),"Not applicable")&lt;0,0,IFERROR(ROUND((Nutrients_from_wastewater!B21+$B$6)*1.2,2),"Not applicable"))</f>
        <v>0</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'/Users/Nicola/Dropbox/HCS/HCS Admin/Timesheets/Nic/C:\Users\DS56\OneDrive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19.319719784317058</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17.241479671499995</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9.1954558247999962</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10.163398543199996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34"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34"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ht="17"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1cb680c-00c7-4479-8e02-7c172c01521c">
      <Value>9</Value>
      <Value>15</Value>
      <Value>3</Value>
      <Value>2</Value>
      <Value>1</Value>
    </TaxCatchAll>
    <lcf76f155ced4ddcb4097134ff3c332f xmlns="c1351ff0-52f3-489c-b3f6-77e25ab2562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Document" ma:contentTypeID="0x0101006414D1216EC77740A8DB21BD04AB592D" ma:contentTypeVersion="18" ma:contentTypeDescription="Create a new document." ma:contentTypeScope="" ma:versionID="2110fd50be2727149b10c2fd908dcc85">
  <xsd:schema xmlns:xsd="http://www.w3.org/2001/XMLSchema" xmlns:xs="http://www.w3.org/2001/XMLSchema" xmlns:p="http://schemas.microsoft.com/office/2006/metadata/properties" xmlns:ns2="c1351ff0-52f3-489c-b3f6-77e25ab25622" xmlns:ns3="61cb680c-00c7-4479-8e02-7c172c01521c" targetNamespace="http://schemas.microsoft.com/office/2006/metadata/properties" ma:root="true" ma:fieldsID="cf183e68566ad0c1436e11e482695ac4" ns2:_="" ns3:_="">
    <xsd:import namespace="c1351ff0-52f3-489c-b3f6-77e25ab25622"/>
    <xsd:import namespace="61cb680c-00c7-4479-8e02-7c172c01521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351ff0-52f3-489c-b3f6-77e25ab256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d87b8f-e7b7-46f9-b7ed-e2f81cff1b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cb680c-00c7-4479-8e02-7c172c01521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cfa6c51-f27d-4ed3-8c94-a97f1be34443}" ma:internalName="TaxCatchAll" ma:showField="CatchAllData" ma:web="61cb680c-00c7-4479-8e02-7c172c0152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A2ED652-9AEA-44F8-BA56-23DBA5047EE5}"/>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Nicola French</cp:lastModifiedBy>
  <cp:revision/>
  <dcterms:created xsi:type="dcterms:W3CDTF">2021-10-14T13:24:34Z</dcterms:created>
  <dcterms:modified xsi:type="dcterms:W3CDTF">2026-06-09T10:20:41Z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0x0101006414D1216EC77740A8DB21BD04AB592D</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