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F:\1353 - Valldata House\Sent\260603 - PLANNING APPLICATION\"/>
    </mc:Choice>
  </mc:AlternateContent>
  <xr:revisionPtr revIDLastSave="0" documentId="8_{FA06EA9D-3C75-4EB2-A959-0DECAAA6DB84}"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4120" yWindow="8910" windowWidth="24240" windowHeight="1302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68" i="21" l="1"/>
  <c r="AT68" i="21" s="1"/>
  <c r="AQ68" i="21"/>
  <c r="AR68" i="21" s="1"/>
  <c r="AS67" i="21"/>
  <c r="AT67" i="21" s="1"/>
  <c r="AQ67" i="21"/>
  <c r="AR67"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E114" i="21"/>
  <c r="G107" i="22"/>
  <c r="I106" i="22" s="1"/>
  <c r="E97" i="22" s="1" a="1"/>
  <c r="E97" i="22" s="1"/>
  <c r="G116" i="21"/>
  <c r="G108" i="22"/>
  <c r="G109" i="22"/>
  <c r="F115" i="21"/>
  <c r="F116" i="21"/>
  <c r="F117" i="21" s="1"/>
  <c r="G115" i="21"/>
  <c r="D38" i="11"/>
  <c r="D37" i="11"/>
  <c r="D21" i="11"/>
  <c r="E21" i="11" s="1" a="1"/>
  <c r="E21" i="11" s="1"/>
  <c r="H109" i="21" l="1"/>
  <c r="I112" i="21" s="1"/>
  <c r="H113" i="21"/>
  <c r="I113"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<sst xmlns="http://schemas.openxmlformats.org/spreadsheetml/2006/main" count="3177" uniqueCount="1062">
  <si>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</si>
  <si>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</si>
  <si>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</si>
  <si>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</si>
  <si>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</si>
  <si>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</si>
  <si>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</si>
  <si>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</si>
  <si>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</si>
  <si>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</si>
  <si>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</si>
  <si>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</si>
  <si>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</si>
  <si>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</si>
  <si>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</si>
  <si>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</si>
  <si>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</si>
  <si>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</si>
  <si>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</si>
  <si>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</si>
  <si>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</si>
  <si>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</si>
  <si>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</si>
  <si>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</si>
  <si>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</si>
  <si>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</si>
  <si>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</si>
  <si>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</si>
  <si>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</si>
  <si>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</si>
  <si>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</si>
  <si>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</si>
  <si>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</si>
  <si>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</si>
  <si>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</si>
  <si>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</si>
  <si>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</si>
  <si>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</si>
  <si>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</si>
  <si>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</si>
  <si>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</si>
  <si>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</si>
  <si>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</si>
  <si>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</si>
  <si>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</si>
  <si>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</si>
  <si>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</si>
  <si>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</si>
  <si>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</si>
  <si>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</si>
  <si>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</si>
  <si>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</si>
  <si>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</si>
  <si>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</si>
  <si>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</si>
  <si>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</si>
  <si>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</si>
  <si>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</si>
  <si>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</si>
  <si>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</si>
  <si>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</si>
  <si>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</si>
  <si>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</si>
  <si>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</si>
  <si>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</si>
  <si>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</si>
  <si>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</si>
  <si>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</si>
  <si>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</si>
  <si>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</si>
  <si>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</si>
  <si>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</si>
  <si>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</si>
  <si>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</si>
  <si>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</si>
  <si>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</si>
  <si>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</si>
  <si>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</si>
  <si>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</si>
  <si>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</si>
  <si>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</si>
  <si>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</si>
  <si>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</si>
  <si>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</si>
  <si>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</si>
  <si>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</si>
  <si>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</si>
  <si>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</si>
  <si>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</si>
  <si>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</si>
  <si>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</si>
  <si>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</si>
  <si>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</si>
  <si>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</si>
  <si>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</si>
  <si>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</si>
  <si>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</si>
  <si>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</si>
  <si>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</si>
  <si>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</si>
  <si>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</si>
  <si>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</si>
  <si>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</si>
  <si>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</si>
  <si>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</si>
  <si>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</si>
  <si>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</si>
  <si>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</si>
  <si>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</si>
  <si>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</si>
  <si>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</si>
  <si>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</si>
  <si>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</si>
  <si>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</si>
  <si>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</si>
  <si>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</si>
  <si>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</si>
  <si>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</si>
  <si>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</si>
  <si>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</si>
  <si>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</si>
  <si>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</si>
  <si>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</si>
  <si>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</si>
  <si>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</si>
  <si>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</si>
  <si>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</si>
  <si>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</si>
  <si>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</si>
  <si>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</si>
  <si>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</si>
  <si>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</si>
  <si>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</si>
  <si>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</si>
  <si>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</si>
  <si>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</si>
  <si>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</si>
  <si>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</si>
  <si>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</si>
  <si>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</si>
  <si>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</si>
  <si>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</si>
  <si>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</si>
  <si>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</si>
  <si>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</si>
  <si>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</si>
  <si>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</si>
  <si>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</si>
  <si>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</si>
  <si>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</si>
  <si>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</si>
  <si>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</si>
  <si>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</si>
  <si>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</si>
  <si>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</si>
  <si>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</si>
  <si>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</si>
  <si>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</si>
  <si>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</si>
  <si>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</si>
  <si>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</si>
  <si>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</si>
  <si>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</si>
  <si>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</si>
  <si>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</si>
  <si>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</si>
  <si>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</si>
  <si>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</si>
  <si>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</si>
  <si>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</si>
  <si>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</si>
  <si>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</si>
  <si>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</si>
  <si>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</si>
  <si>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</si>
  <si>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</si>
  <si>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</si>
  <si>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</si>
  <si>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</si>
  <si>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</si>
  <si>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</si>
  <si>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</si>
  <si>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</si>
  <si>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</si>
  <si>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</si>
  <si>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</si>
  <si>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</si>
  <si>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</si>
  <si>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</si>
  <si>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</si>
  <si>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</si>
  <si>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</si>
  <si>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</si>
  <si>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</si>
  <si>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</si>
  <si>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</si>
  <si>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</si>
  <si>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</si>
  <si>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</si>
  <si>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</si>
  <si>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</si>
  <si>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</si>
  <si>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</si>
  <si>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</si>
  <si>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</si>
  <si>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</si>
  <si>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</si>
  <si>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</si>
  <si>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</si>
  <si>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</si>
  <si>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</si>
  <si>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</si>
  <si>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</si>
  <si>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</si>
  <si>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</si>
  <si>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</si>
  <si>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</si>
  <si>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</si>
  <si>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</si>
  <si>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</si>
  <si>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</si>
  <si>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</si>
  <si>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</si>
  <si>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</si>
  <si>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</si>
  <si>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</si>
  <si>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</si>
  <si>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</si>
  <si>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</si>
  <si>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</si>
  <si>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</si>
  <si>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</si>
  <si>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</si>
  <si>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</si>
  <si>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</si>
  <si>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</si>
  <si>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</si>
  <si>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</si>
  <si>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</si>
  <si>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</si>
  <si>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</si>
  <si>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</si>
  <si>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</si>
  <si>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</si>
  <si>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</si>
  <si>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</si>
  <si>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</si>
  <si>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</si>
  <si>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</si>
  <si>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</si>
  <si>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</si>
  <si>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</si>
  <si>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</si>
  <si>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</si>
  <si>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</si>
  <si>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</si>
  <si>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</si>
  <si>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</si>
  <si>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</si>
  <si>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</si>
  <si>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</si>
  <si>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</si>
  <si>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</si>
  <si>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</si>
  <si>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</si>
  <si>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</si>
  <si>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</si>
  <si>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</si>
  <si>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</si>
  <si>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</si>
  <si>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</si>
  <si>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</si>
  <si>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</si>
  <si>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</si>
  <si>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</si>
  <si>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</si>
  <si>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</si>
  <si>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</si>
  <si>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</si>
  <si>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</si>
  <si>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</si>
  <si>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</si>
  <si>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</si>
  <si>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</si>
  <si>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</si>
  <si>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</si>
  <si>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</si>
  <si>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</si>
  <si>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</si>
  <si>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</si>
  <si>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</si>
  <si>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</si>
  <si>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</si>
  <si>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</si>
  <si>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</si>
  <si>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</si>
  <si>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</si>
  <si>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</si>
  <si>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</si>
  <si>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</si>
  <si>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</si>
  <si>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</si>
  <si>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</si>
  <si>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</si>
  <si>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</si>
  <si>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</si>
  <si>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</si>
  <si>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</si>
  <si>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</si>
  <si>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</si>
  <si>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</si>
  <si>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</si>
  <si>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</si>
  <si>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</si>
  <si>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</si>
  <si>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</si>
  <si>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</si>
  <si>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</si>
  <si>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</si>
  <si>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</si>
  <si>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</si>
  <si>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</si>
  <si>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</si>
  <si>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</si>
  <si>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</si>
  <si>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</si>
  <si>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</si>
  <si>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</si>
  <si>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</si>
  <si>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</si>
  <si>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</si>
  <si>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</si>
  <si>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</si>
  <si>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</si>
  <si>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</si>
  <si>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</si>
  <si>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</si>
  <si>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</si>
  <si>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</si>
  <si>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</si>
  <si>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</si>
  <si>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</si>
  <si>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</si>
  <si>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</si>
  <si>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</si>
  <si>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</si>
  <si>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</si>
  <si>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</si>
  <si>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</si>
  <si>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</si>
  <si>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</si>
  <si>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</si>
  <si>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</si>
  <si>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</si>
  <si>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</si>
  <si>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</si>
  <si>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</si>
  <si>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</si>
  <si>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</si>
  <si>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</si>
  <si>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</si>
  <si>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</si>
  <si>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</si>
  <si>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</si>
  <si>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</si>
  <si>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</si>
  <si>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</si>
  <si>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</si>
  <si>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</si>
  <si>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</si>
  <si>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</si>
  <si>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</si>
  <si>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</si>
  <si>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</si>
  <si>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</si>
  <si>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</si>
  <si>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</si>
  <si>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</si>
  <si>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</si>
  <si>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</si>
  <si>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</si>
  <si>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</si>
  <si>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</si>
  <si>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</si>
  <si>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</si>
  <si>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</si>
  <si>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</si>
  <si>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</si>
  <si>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</si>
  <si>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</si>
  <si>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</si>
  <si>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</si>
  <si>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</si>
  <si>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</si>
  <si>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</si>
  <si>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</si>
  <si>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</si>
  <si>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</si>
  <si>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</si>
  <si>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</si>
  <si>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</si>
  <si>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</si>
  <si>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</si>
  <si>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</si>
  <si>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</si>
  <si>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</si>
  <si>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</si>
  <si>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</si>
  <si>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</si>
  <si>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</si>
  <si>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</si>
  <si>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</si>
  <si>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</si>
  <si>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</si>
  <si>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</si>
  <si>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</si>
  <si>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</si>
  <si>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</si>
  <si>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</si>
  <si>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</si>
  <si>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</si>
  <si>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</si>
  <si>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</si>
  <si>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</si>
  <si>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</si>
  <si>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</si>
  <si>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</si>
  <si>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</si>
  <si>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</si>
  <si>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</si>
  <si>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</si>
  <si>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</si>
  <si>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</si>
  <si>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</si>
  <si>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</si>
  <si>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</si>
  <si>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</si>
  <si>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</si>
  <si>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</si>
  <si>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</si>
  <si>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</si>
  <si>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</si>
  <si>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</si>
  <si>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</si>
  <si>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</si>
  <si>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</si>
  <si>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</si>
  <si>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</si>
  <si>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</si>
  <si>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</si>
  <si>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</si>
  <si>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</si>
  <si>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</si>
  <si>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</si>
  <si>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</si>
  <si>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</si>
  <si>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</si>
  <si>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</si>
  <si>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</si>
  <si>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</si>
  <si>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</si>
  <si>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</si>
  <si>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</si>
  <si>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</si>
  <si>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</si>
  <si>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</si>
  <si>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</si>
  <si>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</si>
  <si>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</si>
  <si>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</si>
  <si>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</si>
  <si>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</si>
  <si>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</si>
  <si>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</si>
  <si>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</si>
  <si>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</si>
  <si>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</si>
  <si>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</si>
  <si>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</si>
  <si>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</si>
  <si>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</si>
  <si>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</si>
  <si>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</si>
  <si>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</si>
  <si>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</si>
  <si>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</si>
  <si>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</si>
  <si>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</si>
  <si>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</si>
  <si>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</si>
  <si>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</si>
  <si>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</si>
  <si>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</si>
  <si>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</si>
  <si>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</si>
  <si>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</si>
  <si>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</si>
  <si>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</si>
  <si>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</si>
  <si>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</si>
  <si>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</si>
  <si>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</si>
  <si>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</si>
  <si>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</si>
  <si>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</si>
  <si>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</si>
  <si>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</si>
  <si>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</si>
  <si>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</si>
  <si>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</si>
  <si>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</si>
  <si>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</si>
  <si>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</si>
  <si>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</si>
  <si>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</si>
  <si>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</si>
  <si>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</si>
  <si>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</si>
  <si>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</si>
  <si>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</si>
  <si>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</si>
  <si>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</si>
  <si>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</si>
  <si>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</si>
  <si>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</si>
  <si>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</si>
  <si>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</si>
  <si>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</si>
  <si>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</si>
  <si>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</si>
  <si>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</si>
  <si>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</si>
  <si>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</si>
  <si>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</si>
  <si>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</si>
  <si>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</si>
  <si>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</si>
  <si>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</si>
  <si>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</si>
  <si>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</si>
  <si>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</si>
  <si>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</si>
  <si>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</si>
  <si>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</si>
  <si>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</si>
  <si>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</si>
  <si>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</si>
  <si>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</si>
  <si>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</si>
  <si>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</si>
  <si>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</si>
  <si>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</si>
  <si>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</si>
  <si>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</si>
  <si>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</si>
  <si>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</si>
  <si>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</si>
  <si>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</si>
  <si>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</si>
  <si>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</si>
  <si>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</si>
  <si>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</si>
  <si>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</si>
  <si>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</si>
  <si>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</si>
  <si>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</si>
  <si>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</si>
  <si>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</si>
  <si>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</si>
  <si>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</si>
  <si>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</si>
  <si>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</si>
  <si>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</si>
  <si>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</si>
  <si>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</si>
  <si>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</si>
  <si>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</si>
  <si>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</si>
  <si>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</si>
  <si>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</si>
  <si>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</si>
  <si>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</si>
  <si>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</si>
  <si>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</si>
  <si>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</si>
  <si>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</si>
  <si>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</si>
  <si>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</si>
  <si>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</si>
  <si>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</si>
  <si>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</si>
  <si>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</si>
  <si>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</si>
  <si>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</si>
  <si>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</si>
  <si>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</si>
  <si>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</si>
  <si>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</si>
  <si>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</si>
  <si>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</si>
  <si>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</si>
  <si>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</si>
  <si>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</si>
  <si>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</si>
  <si>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</si>
  <si>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</si>
  <si>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</si>
  <si>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</si>
  <si>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</si>
  <si>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</si>
  <si>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</si>
  <si>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</si>
  <si>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</si>
  <si>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</si>
  <si>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</si>
  <si>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</si>
  <si>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</si>
  <si>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</si>
  <si>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</si>
  <si>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</si>
  <si>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</si>
  <si>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</si>
  <si>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</si>
  <si>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</si>
  <si>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</si>
  <si>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</si>
  <si>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</si>
  <si>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</si>
  <si>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</si>
  <si>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</si>
  <si>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</si>
  <si>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</si>
  <si>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</si>
  <si>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</si>
  <si>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</si>
  <si>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</si>
  <si>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</si>
  <si>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</si>
  <si>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</si>
  <si>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</si>
  <si>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</si>
  <si>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</si>
  <si>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</si>
  <si>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</si>
  <si>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</si>
  <si>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</si>
  <si>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</si>
  <si>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</si>
  <si>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</si>
  <si>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</si>
  <si>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</si>
  <si>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</si>
  <si>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</si>
  <si>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</si>
  <si>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</si>
  <si>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</si>
  <si>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</si>
  <si>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</si>
  <si>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</si>
  <si>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</si>
  <si>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</si>
  <si>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</si>
  <si>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</si>
  <si>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</si>
  <si>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</si>
  <si>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</si>
  <si>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</si>
  <si>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</si>
  <si>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</si>
  <si>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</si>
  <si>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</si>
  <si>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</si>
  <si>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</si>
  <si>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</si>
  <si>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</si>
  <si>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</si>
  <si>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</si>
  <si>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</si>
  <si>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</si>
  <si>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</si>
  <si>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</si>
  <si>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</si>
  <si>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</si>
  <si>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</si>
  <si>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</si>
  <si>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</si>
  <si>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</si>
  <si>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</si>
  <si>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</si>
  <si>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</si>
  <si>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</si>
  <si>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</si>
  <si>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</si>
  <si>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</si>
  <si>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</si>
  <si>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</si>
  <si>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</si>
  <si>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</si>
  <si>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</si>
  <si>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</si>
  <si>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</si>
  <si>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</si>
  <si>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</si>
  <si>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</si>
  <si>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</si>
  <si>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</si>
  <si>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</si>
  <si>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</si>
  <si>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</si>
  <si>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</si>
  <si>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</si>
  <si>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</si>
  <si>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</si>
  <si>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</si>
  <si>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</si>
  <si>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</si>
  <si>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</si>
  <si>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</si>
  <si>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</si>
  <si>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</si>
  <si>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</si>
  <si>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</si>
  <si>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</si>
  <si>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</si>
  <si>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</si>
  <si>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</si>
  <si>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</si>
  <si>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</si>
  <si>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</si>
  <si>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</si>
  <si>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</si>
  <si>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</si>
  <si>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</si>
  <si>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</si>
  <si>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</si>
  <si>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</si>
  <si>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</si>
  <si>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</si>
  <si>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</si>
  <si>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</si>
  <si>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</si>
  <si>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</si>
  <si>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</si>
  <si>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</si>
  <si>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</si>
  <si>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</si>
  <si>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</si>
  <si>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</si>
  <si>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</si>
  <si>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</si>
  <si>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</si>
  <si>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</si>
  <si>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</si>
  <si>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</si>
  <si>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</si>
  <si>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</si>
  <si>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</si>
  <si>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</si>
  <si>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</si>
  <si>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</si>
  <si>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</si>
  <si>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</si>
  <si>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</si>
  <si>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</si>
  <si>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</si>
  <si>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</si>
  <si>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</si>
  <si>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</si>
  <si>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</si>
  <si>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</si>
  <si>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</si>
  <si>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</si>
  <si>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</si>
  <si>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</si>
  <si>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</si>
  <si>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</si>
  <si>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</si>
  <si>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</si>
  <si>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</si>
  <si>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</si>
  <si>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</si>
  <si>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</si>
  <si>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</si>
  <si>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</si>
  <si>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</si>
  <si>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</si>
  <si>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</si>
  <si>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</si>
  <si>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</si>
  <si>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</si>
  <si>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</si>
  <si>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</si>
  <si>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</si>
  <si>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</si>
  <si>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</si>
  <si>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</si>
  <si>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</si>
  <si>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</si>
  <si>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</si>
  <si>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</si>
  <si>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</si>
  <si>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</si>
  <si>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</si>
  <si>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</si>
  <si>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</si>
  <si>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</si>
  <si>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</si>
  <si>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</si>
  <si>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</si>
  <si>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</si>
  <si>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</si>
  <si>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</si>
  <si>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</si>
  <si>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</si>
  <si>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</si>
  <si>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</si>
  <si>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</si>
  <si>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</si>
  <si>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</si>
  <si>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</si>
  <si>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</si>
  <si>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</si>
  <si>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</si>
  <si>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</si>
  <si>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</si>
  <si>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</si>
  <si>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</si>
  <si>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</si>
  <si>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</si>
  <si>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</si>
  <si>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</si>
  <si>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</si>
  <si>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</si>
  <si>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</si>
  <si>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</si>
  <si>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</si>
  <si>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</si>
  <si>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</si>
  <si>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</si>
  <si>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</si>
  <si>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</si>
  <si>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</si>
  <si>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</si>
  <si>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</si>
  <si>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</si>
  <si>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</si>
  <si>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</si>
  <si>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</si>
  <si>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</si>
  <si>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</si>
  <si>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</si>
  <si>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</si>
  <si>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</si>
  <si>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</si>
  <si>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</si>
  <si>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</si>
  <si>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</si>
  <si>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</si>
  <si>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</si>
  <si>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</si>
  <si>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</si>
  <si>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</si>
  <si>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</si>
  <si>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</si>
  <si>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</si>
  <si>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</si>
  <si>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</si>
  <si>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</si>
  <si>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</si>
  <si>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</si>
  <si>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</si>
  <si>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</si>
  <si>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</si>
  <si>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</si>
  <si>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</si>
  <si>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</si>
  <si>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</si>
  <si>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</si>
  <si>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</si>
  <si>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</si>
  <si>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</si>
  <si>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</si>
  <si>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</si>
  <si>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</si>
  <si>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</si>
  <si>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</si>
  <si>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</si>
  <si>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</si>
  <si>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</si>
  <si>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</si>
  <si>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</si>
  <si>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</si>
  <si>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</si>
  <si>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</si>
  <si>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</si>
  <si>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</si>
  <si>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</si>
  <si>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</si>
  <si>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</si>
  <si>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</si>
  <si>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</si>
  <si>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</si>
  <si>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</si>
  <si>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</si>
  <si>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</si>
  <si>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</si>
  <si>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</si>
  <si>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</si>
  <si>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</si>
  <si>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</si>
  <si>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</si>
  <si>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</si>
  <si>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</si>
  <si>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</si>
  <si>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</si>
  <si>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</si>
  <si>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</si>
  <si>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</si>
  <si>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</si>
  <si>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</si>
  <si>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</si>
  <si>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</si>
  <si>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</si>
  <si>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</si>
  <si>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</si>
  <si>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</si>
  <si>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</si>
  <si>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</si>
  <si>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</si>
  <si>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</si>
  <si>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</si>
  <si>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</si>
  <si>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</si>
  <si>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</si>
  <si>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</si>
  <si>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</si>
  <si>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</si>
  <si>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</si>
  <si>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</si>
  <si>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</si>
  <si>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</si>
  <si>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</si>
  <si>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</si>
  <si>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</si>
  <si>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</si>
  <si>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</si>
  <si>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</si>
  <si>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</si>
  <si>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</si>
  <si>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</si>
  <si>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</si>
  <si>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</si>
  <si>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</si>
  <si>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</si>
  <si>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</si>
  <si>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</si>
  <si>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</si>
  <si>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</si>
  <si>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</si>
  <si>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</si>
  <si>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</si>
  <si>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</si>
  <si>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</si>
  <si>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</si>
  <si>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</si>
  <si>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</si>
  <si>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</si>
  <si>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</si>
  <si>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</si>
  <si>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</si>
  <si>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</si>
  <si>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</si>
  <si>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</si>
  <si>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</si>
  <si>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</si>
  <si>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</si>
  <si>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</si>
  <si>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</si>
  <si>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</si>
  <si>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</si>
  <si>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</si>
  <si>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</si>
  <si>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</si>
  <si>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</si>
  <si>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</si>
  <si>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</si>
  <si>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</si>
  <si>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</si>
  <si>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</si>
  <si>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</si>
  <si>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</si>
  <si>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</si>
  <si>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</si>
  <si>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</si>
  <si>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</si>
  <si>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</si>
  <si>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</si>
  <si>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</si>
  <si>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</si>
  <si>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</si>
  <si>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</si>
  <si>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</si>
  <si>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</si>
  <si>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</si>
  <si>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</si>
  <si>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</si>
  <si>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</si>
  <si>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</si>
  <si>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</si>
  <si>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</si>
  <si>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</si>
  <si>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</si>
  <si>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</si>
  <si>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</si>
  <si>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</si>
  <si>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</si>
  <si>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</si>
  <si>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</si>
  <si>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</si>
  <si>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</si>
  <si>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</si>
  <si>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</si>
  <si>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</si>
  <si>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</si>
  <si>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</si>
  <si>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</si>
  <si>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</si>
  <si>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</si>
  <si>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</si>
  <si>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</si>
  <si>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</si>
  <si>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</si>
  <si>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</si>
  <si>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</si>
  <si>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</si>
  <si>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</si>
  <si>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</si>
  <si>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</si>
  <si>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</si>
  <si>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</si>
  <si>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</si>
  <si>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</si>
  <si>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</si>
  <si>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</si>
  <si>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</si>
  <si>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</si>
  <si>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</si>
  <si>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</si>
  <si>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</si>
  <si>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</si>
  <si>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</si>
  <si>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Valldata House, 2a Halifax Road, Bowerhill, SN12 6YY</t>
  </si>
  <si>
    <t>PP-14935888</t>
  </si>
  <si>
    <t>Ivan Leal - Senior Architect</t>
  </si>
  <si>
    <t>Commercial</t>
  </si>
  <si>
    <t>No</t>
  </si>
  <si>
    <t>Wiltshire Core Strategy Map</t>
  </si>
  <si>
    <t>Walkover completed by competent person</t>
  </si>
  <si>
    <t>Ivan Leal</t>
  </si>
  <si>
    <t>Senior Architect</t>
  </si>
  <si>
    <t>J.J. Lee Ltd</t>
  </si>
  <si>
    <t>1353-010 B - Proposed Site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</si>
</sst>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0.37033769599999999</c:v>
                </c:pt>
                <c:pt idx="1">
                  <c:v>1.0500000000000001E-2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0.41227832849029294</c:v>
                </c:pt>
                <c:pt idx="1">
                  <c:v>2.8063610821E-2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32" t="s">
        <v>13</v>
      </c>
      <c r="C2" s="633"/>
      <c r="D2" s="260" t="s">
        <v>14</v>
      </c>
      <c r="E2" s="40"/>
      <c r="F2" s="25"/>
      <c r="G2" s="25"/>
      <c r="H2" s="25"/>
      <c r="I2" s="25"/>
      <c r="J2" s="25"/>
      <c r="K2" s="25"/>
    </row>
    <row r="3" spans="1:11" ht="42" customHeight="1">
      <c r="A3" s="25"/>
      <c r="B3" s="627" t="s">
        <v>15</v>
      </c>
      <c r="C3" s="628"/>
      <c r="D3" s="31" t="s">
        <v>846</v>
      </c>
      <c r="E3" s="25"/>
      <c r="F3" s="25"/>
      <c r="G3" s="25"/>
      <c r="H3" s="25"/>
      <c r="I3" s="25"/>
      <c r="J3" s="25"/>
      <c r="K3" s="25"/>
    </row>
    <row r="4" spans="1:11" ht="42" customHeight="1">
      <c r="A4" s="25"/>
      <c r="B4" s="625" t="s">
        <v>16</v>
      </c>
      <c r="C4" s="626"/>
      <c r="D4" s="32" t="s">
        <v>1051</v>
      </c>
      <c r="E4" s="25"/>
      <c r="F4" s="25"/>
      <c r="G4" s="25"/>
      <c r="H4" s="25"/>
      <c r="I4" s="25"/>
      <c r="J4" s="25"/>
      <c r="K4" s="25"/>
    </row>
    <row r="5" spans="1:11" ht="42" customHeight="1">
      <c r="A5" s="25"/>
      <c r="B5" s="625" t="s">
        <v>17</v>
      </c>
      <c r="C5" s="626"/>
      <c r="D5" s="32" t="s">
        <v>1060</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t="s">
        <v>1052</v>
      </c>
      <c r="E7" s="25"/>
      <c r="F7" s="25"/>
      <c r="G7" s="25"/>
      <c r="H7" s="25"/>
      <c r="I7" s="25"/>
      <c r="J7" s="25"/>
      <c r="K7" s="25"/>
    </row>
    <row r="8" spans="1:11" ht="42" customHeight="1">
      <c r="A8" s="25"/>
      <c r="B8" s="625" t="s">
        <v>20</v>
      </c>
      <c r="C8" s="626"/>
      <c r="D8" s="32" t="s">
        <v>1053</v>
      </c>
      <c r="E8" s="25"/>
      <c r="F8" s="25"/>
      <c r="G8" s="25"/>
      <c r="H8" s="25"/>
      <c r="I8" s="25"/>
      <c r="J8" s="25"/>
      <c r="K8" s="25"/>
    </row>
    <row r="9" spans="1:11" ht="42" customHeight="1">
      <c r="A9" s="25"/>
      <c r="B9" s="625" t="s">
        <v>21</v>
      </c>
      <c r="C9" s="626"/>
      <c r="D9" s="287">
        <v>46176</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t="s">
        <v>1061</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5"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C8" sqref="C8"/>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Valldata House, 2a Halifax Road, Bowerhill, SN12 6YY</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5447</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16. Building footprint (m2) of commercial buildings proposed within the development site (or zero if none)</v>
      </c>
      <c r="C8" s="151">
        <v>486</v>
      </c>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t="s">
        <v>1056</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1057</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46101</v>
      </c>
      <c r="D20" s="162" t="str">
        <f>IF(C20="","Walkover date required ▲","Site walkover data valid until "&amp;TEXT(EDATE(C20,6),"dd/mm/yy"))</f>
        <v>Site walkover data valid until 20/09/26</v>
      </c>
      <c r="E20" s="25"/>
      <c r="F20" s="25"/>
      <c r="G20" s="25"/>
      <c r="H20" s="25"/>
      <c r="I20" s="25"/>
      <c r="J20" s="25"/>
      <c r="K20" s="25"/>
      <c r="L20" s="25"/>
      <c r="M20" s="25"/>
      <c r="N20" s="25"/>
    </row>
    <row r="21" spans="1:14" ht="39.65" customHeight="1" thickBot="1">
      <c r="A21" s="25"/>
      <c r="B21" s="36" t="s">
        <v>1034</v>
      </c>
      <c r="C21" s="560" t="s">
        <v>1058</v>
      </c>
      <c r="D21" s="561" t="s">
        <v>1059</v>
      </c>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11" sqref="E11"/>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8" t="s">
        <v>32</v>
      </c>
      <c r="C2" s="649"/>
      <c r="D2" s="261" t="str">
        <f>IF('2. Site Details'!D4="","Enter site name on 2. Site Details",'2. Site Details'!D4)</f>
        <v>Valldata House, 2a Halifax Road, Bowerhill, SN12 6YY</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v>46101</v>
      </c>
      <c r="E8" s="399">
        <v>46101</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v>46101</v>
      </c>
      <c r="E10" s="399">
        <v>46101</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15" zoomScale="70" zoomScaleNormal="70" workbookViewId="0">
      <selection activeCell="G96" sqref="G96:H96"/>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0.33851769599999998</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Valldata House, 2a Halifax Road, Bowerhill, SN12 6YY</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3.181999999999998E-2</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7.3760632490292952E-2</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4.1940632490292951E-2</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721" t="s">
        <v>305</v>
      </c>
      <c r="E11" s="722"/>
      <c r="F11" s="767" t="s">
        <v>112</v>
      </c>
      <c r="G11" s="768"/>
      <c r="H11" s="769"/>
      <c r="I11" s="305">
        <v>738.65</v>
      </c>
      <c r="J11" s="323">
        <v>659.1</v>
      </c>
      <c r="K11" s="307"/>
      <c r="L11" s="408">
        <f>IF(C11="","",IFERROR(IF(I11="","",((I11/10000)*V11*X11)*AD11),"Error ▲"))</f>
        <v>0.29546</v>
      </c>
      <c r="M11" s="408">
        <f>IF(I11="","",IF(J11+K11&gt;I11,"Area Error ▲",I11-J11-K11))</f>
        <v>79.549999999999955</v>
      </c>
      <c r="N11" s="409">
        <f>IFERROR(IF(I11="","",IF(M11="Area Error ▲","Area Error ▲",((M11/10000)*V11*X11)*AD11)),"This intervention is not permitted within the SSM ▲")</f>
        <v>3.181999999999998E-2</v>
      </c>
      <c r="O11" s="67"/>
      <c r="P11" s="5"/>
      <c r="Q11" s="25"/>
      <c r="R11" s="654"/>
      <c r="S11" s="25"/>
      <c r="T11" s="663" t="str">
        <f>IF(C11="","",VLOOKUP(D11,'9. All Habitats + Multipliers'!$C$4:$K$102,5,FALSE))</f>
        <v>Low</v>
      </c>
      <c r="U11" s="664"/>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0.26363999999999999</v>
      </c>
      <c r="AF11" s="299">
        <f>IF(D11="","",((K11/10000)*V11*X11)*AD11)</f>
        <v>0</v>
      </c>
      <c r="AG11" s="96">
        <f>IF(D11="","",M11)</f>
        <v>79.549999999999955</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824" t="s">
        <v>333</v>
      </c>
      <c r="E12" s="825"/>
      <c r="F12" s="767" t="s">
        <v>112</v>
      </c>
      <c r="G12" s="768"/>
      <c r="H12" s="769"/>
      <c r="I12" s="305">
        <v>4708.3500000000004</v>
      </c>
      <c r="J12" s="306">
        <v>4708.3500000000004</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32" t="s">
        <v>91</v>
      </c>
      <c r="E31" s="748"/>
      <c r="F31" s="782" t="s">
        <v>92</v>
      </c>
      <c r="G31" s="783"/>
      <c r="H31" s="784"/>
      <c r="I31" s="324">
        <f>I99</f>
        <v>81.388799999999989</v>
      </c>
      <c r="J31" s="325">
        <f>L99</f>
        <v>81.388799999999989</v>
      </c>
      <c r="K31" s="426"/>
      <c r="L31" s="405">
        <f>IF(C31="","",((I31/10000)*V31*X31)*AD31)</f>
        <v>7.4877695999999994E-2</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7.4877695999999994E-2</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5447</v>
      </c>
      <c r="J32" s="327">
        <f>SUMIFS(J11:J30,D11:D30,"&lt;&gt;"&amp;'11. Lists'!Q10,D11:D30,"&lt;&gt;"&amp;'11. Lists'!Q11,D11:D30,"&lt;&gt;"&amp;'11. Lists'!I4,D11:D30,"&lt;&gt;"&amp;'11. Lists'!I2,D11:D30,"&lt;&gt;"&amp;'11. Lists'!I3)</f>
        <v>5367.4500000000007</v>
      </c>
      <c r="K32" s="328">
        <f>SUMIFS(K11:K30,D11:D30,"&lt;&gt;"&amp;'11. Lists'!Q10,D11:D30,"&lt;&gt;"&amp;'11. Lists'!Q11,D11:D30,"&lt;&gt;"&amp;'11. Lists'!I4,D11:D30,"&lt;&gt;"&amp;'11. Lists'!I2,D11:D30,"&lt;&gt;"&amp;'11. Lists'!I3)</f>
        <v>0</v>
      </c>
      <c r="L32" s="279">
        <f>SUM(L11:L31)</f>
        <v>0.37033769599999999</v>
      </c>
      <c r="M32" s="319">
        <f>SUMIFS(M11:M30,D11:D30,"&lt;&gt;"&amp;'11. Lists'!Q10,D11:D30,"&lt;&gt;"&amp;'11. Lists'!Q11,D11:D30,"&lt;&gt;"&amp;'11. Lists'!I4,D11:D30,"&lt;&gt;"&amp;'11. Lists'!I2,D11:D30,"&lt;&gt;"&amp;'11. Lists'!I3)</f>
        <v>79.549999999999955</v>
      </c>
      <c r="N32" s="280">
        <f>SUM(N11:N31)</f>
        <v>3.181999999999998E-2</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333</v>
      </c>
      <c r="E40" s="342" t="str">
        <f>IF(D40="","",VLOOKUP(D40,'10. Condition and Temporal'!$B$6:$D$103,3,FALSE))</f>
        <v>N/A - Other</v>
      </c>
      <c r="F40" s="826" t="s">
        <v>386</v>
      </c>
      <c r="G40" s="827"/>
      <c r="H40" s="72" t="s">
        <v>112</v>
      </c>
      <c r="I40" s="718">
        <v>65.8</v>
      </c>
      <c r="J40" s="719"/>
      <c r="K40" s="720"/>
      <c r="L40" s="711">
        <f>IF(C40="","",IFERROR(IF(I40="","",((I40/10000)*(V40*X40))*(AH40*AF40)*AD40),"This intervention is not permitted within the SSM ▲"))</f>
        <v>0</v>
      </c>
      <c r="M40" s="688"/>
      <c r="N40" s="712"/>
      <c r="O40" s="2"/>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204</v>
      </c>
      <c r="D41" s="73" t="s">
        <v>314</v>
      </c>
      <c r="E41" s="342" t="str">
        <f>IF(D41="","",VLOOKUP(D41,'10. Condition and Temporal'!$B$6:$D$103,3,FALSE))</f>
        <v>Moderate, Good</v>
      </c>
      <c r="F41" s="709" t="s">
        <v>383</v>
      </c>
      <c r="G41" s="710"/>
      <c r="H41" s="71" t="s">
        <v>112</v>
      </c>
      <c r="I41" s="718">
        <v>13.75</v>
      </c>
      <c r="J41" s="719"/>
      <c r="K41" s="720"/>
      <c r="L41" s="711">
        <f t="shared" ref="L41:L59" si="7">IF(C41="","",IFERROR(IF(I41="","",((I41/10000)*(V41*X41))*(AH41*AF41)*AD41),"This intervention is not permitted within the SSM ▲"))</f>
        <v>1.1554657524299999E-2</v>
      </c>
      <c r="M41" s="688"/>
      <c r="N41" s="712"/>
      <c r="O41" s="61"/>
      <c r="P41" s="12"/>
      <c r="Q41" s="106"/>
      <c r="R41" s="654"/>
      <c r="T41" s="663" t="str">
        <f>IF(C41="","",VLOOKUP(D41,'9. All Habitats + Multipliers'!$C$4:$K$102,5,FALSE))</f>
        <v>Medium</v>
      </c>
      <c r="U41" s="664"/>
      <c r="V41" s="94">
        <f>IF(T41="","",VLOOKUP(T41,'11. Lists'!$B$47:$D$49,2,FALSE))</f>
        <v>4</v>
      </c>
      <c r="W41" s="184" t="str">
        <f>IF(F41="","",F41)</f>
        <v>Good</v>
      </c>
      <c r="X41" s="94">
        <f>IF(W41="","",VLOOKUP(W41,'11. Lists'!$F$47:$G$51,2,FALSE))</f>
        <v>3</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10</v>
      </c>
      <c r="AF41" s="107">
        <f>IF(AE41="","",VLOOKUP(AE41,'11. Lists'!$I$47:$K$80,3,FALSE))</f>
        <v>0.70028227419999989</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47" t="s">
        <v>111</v>
      </c>
      <c r="G60" s="748"/>
      <c r="H60" s="550" t="s">
        <v>112</v>
      </c>
      <c r="I60" s="751">
        <f>O99</f>
        <v>203.47200000000001</v>
      </c>
      <c r="J60" s="752"/>
      <c r="K60" s="753"/>
      <c r="L60" s="713">
        <f>IF(D60="","",((I60/10000)*(V60*X60))*(AH60*AF60)*AD60)</f>
        <v>6.2205974965992956E-2</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79.55</v>
      </c>
      <c r="J61" s="819"/>
      <c r="K61" s="820"/>
      <c r="L61" s="700">
        <f>SUM(L40:N60)</f>
        <v>7.3760632490292952E-2</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283.02199999999999</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5"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5" customHeight="1">
      <c r="B95" s="745" t="s">
        <v>183</v>
      </c>
      <c r="C95" s="746"/>
      <c r="D95" s="155">
        <v>2</v>
      </c>
      <c r="E95" s="703">
        <v>2</v>
      </c>
      <c r="F95" s="704"/>
      <c r="G95" s="852">
        <v>1</v>
      </c>
      <c r="H95" s="853"/>
      <c r="I95" s="693">
        <f>D95*'11. Lists'!P47</f>
        <v>81.388799999999989</v>
      </c>
      <c r="J95" s="694"/>
      <c r="K95" s="695"/>
      <c r="L95" s="657">
        <f>IF(E95&gt;D95, "Error ▲", E95*'11. Lists'!P47)</f>
        <v>81.388799999999989</v>
      </c>
      <c r="M95" s="694"/>
      <c r="N95" s="695"/>
      <c r="O95" s="657">
        <f>G95*'11. Lists'!P47</f>
        <v>40.694399999999995</v>
      </c>
      <c r="P95" s="658"/>
      <c r="R95" s="654"/>
    </row>
    <row r="96" spans="1:76" s="25" customFormat="1" ht="24.65" customHeight="1">
      <c r="B96" s="743" t="s">
        <v>184</v>
      </c>
      <c r="C96" s="744"/>
      <c r="D96" s="213"/>
      <c r="E96" s="701"/>
      <c r="F96" s="702"/>
      <c r="G96" s="854">
        <v>1</v>
      </c>
      <c r="H96" s="855"/>
      <c r="I96" s="690">
        <f>D96*'11. Lists'!P48</f>
        <v>0</v>
      </c>
      <c r="J96" s="691"/>
      <c r="K96" s="692"/>
      <c r="L96" s="659">
        <f>IF(E96&gt;D96,"Error ▲",(E96*'11. Lists'!P48))</f>
        <v>0</v>
      </c>
      <c r="M96" s="691"/>
      <c r="N96" s="692"/>
      <c r="O96" s="659">
        <f>G96*'11. Lists'!P48</f>
        <v>162.77760000000001</v>
      </c>
      <c r="P96" s="660"/>
      <c r="R96" s="654"/>
    </row>
    <row r="97" spans="1:18" s="25" customFormat="1" ht="24.65"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5"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5" customHeight="1" thickBot="1">
      <c r="B99" s="645" t="s">
        <v>187</v>
      </c>
      <c r="C99" s="738"/>
      <c r="D99" s="285">
        <f>SUM(D95:D98)</f>
        <v>2</v>
      </c>
      <c r="E99" s="655">
        <f>SUM(E95:F98)</f>
        <v>2</v>
      </c>
      <c r="F99" s="708"/>
      <c r="G99" s="655">
        <f>SUM(G95:H98)</f>
        <v>2</v>
      </c>
      <c r="H99" s="656"/>
      <c r="I99" s="708">
        <f>SUM(I95:K98)</f>
        <v>81.388799999999989</v>
      </c>
      <c r="J99" s="707"/>
      <c r="K99" s="707"/>
      <c r="L99" s="707">
        <f>SUM(L95:N98)</f>
        <v>81.388799999999989</v>
      </c>
      <c r="M99" s="707"/>
      <c r="N99" s="707"/>
      <c r="O99" s="655">
        <f>SUM(O95:P98)</f>
        <v>203.47200000000001</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5"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 thickBot="1">
      <c r="R112" s="654"/>
    </row>
    <row r="113" spans="2:18" s="25" customFormat="1" ht="36.65" customHeight="1">
      <c r="B113" s="792" t="s">
        <v>193</v>
      </c>
      <c r="C113" s="793"/>
      <c r="D113" s="793"/>
      <c r="E113" s="212" t="s">
        <v>194</v>
      </c>
      <c r="F113" s="212" t="s">
        <v>195</v>
      </c>
      <c r="G113" s="212" t="s">
        <v>196</v>
      </c>
      <c r="H113" s="212" t="s">
        <v>197</v>
      </c>
      <c r="I113" s="120" t="s">
        <v>198</v>
      </c>
      <c r="J113" s="430"/>
      <c r="R113" s="654"/>
    </row>
    <row r="114" spans="2:18" s="25" customFormat="1" ht="15.65"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5"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5" customHeight="1">
      <c r="B116" s="794" t="s">
        <v>203</v>
      </c>
      <c r="C116" s="795"/>
      <c r="D116" s="796"/>
      <c r="E116" s="121" t="s">
        <v>200</v>
      </c>
      <c r="F116" s="122">
        <f>SUMIFS($L$11:$L$30,$C$11:$C$30,$B116,$T$11:$T$30,$E116)</f>
        <v>0.29546</v>
      </c>
      <c r="G116" s="122">
        <f>SUMIFS($L$40:$L$59,$C$40:$C$59,$B116,$T$40:$T$59,$E116)+SUMIFS($L$68:$L$87,AY68:AY87,B116,$AG$68:$AG$87,E116)+SUMIFS($AE$11:$AE$31,$C$11:$C$31,B116,$T$11:$T$31,E116)</f>
        <v>0.26363999999999999</v>
      </c>
      <c r="H116" s="122">
        <f>G116-F116</f>
        <v>-3.1820000000000015E-2</v>
      </c>
      <c r="I116" s="123" t="s">
        <v>201</v>
      </c>
      <c r="J116" s="157"/>
      <c r="R116" s="654"/>
    </row>
    <row r="117" spans="2:18" s="25" customFormat="1" ht="15.65"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5"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5" customHeight="1">
      <c r="B119" s="797"/>
      <c r="C119" s="798"/>
      <c r="D119" s="799"/>
      <c r="E119" s="124" t="s">
        <v>202</v>
      </c>
      <c r="F119" s="122">
        <f>SUMIFS($L$11:$L$30,$C$11:$C$30,$B118,$T$11:$T$30,$E119)</f>
        <v>0</v>
      </c>
      <c r="G119" s="122">
        <f>SUMIFS($L$40:$L$59,$C$40:$C$59,$B118,$T$40:$T$59,$E119)+SUMIFS($L$68:$L$87,$C$68:$C$87,B118,$AG$68:$AG$87,E119)+SUMIFS($AE$11:$AE$31,$C$11:$C$31,B118,$T$11:$T$31,E119)</f>
        <v>1.1554657524299999E-2</v>
      </c>
      <c r="H119" s="122">
        <f t="shared" si="54"/>
        <v>1.1554657524299999E-2</v>
      </c>
      <c r="I119" s="125" t="str">
        <f>IF(F119=0,"N/A",IF(H119&lt;0,"No ▲","Yes ✓"))</f>
        <v>N/A</v>
      </c>
      <c r="J119" s="157">
        <f>IF(I119="No ▲",1,0)</f>
        <v>0</v>
      </c>
      <c r="R119" s="654"/>
    </row>
    <row r="120" spans="2:18" s="25" customFormat="1" ht="15.65"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5"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5"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5"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5"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5"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5"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5"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5"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5"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5"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5"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5"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5"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5"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5" customHeight="1" thickBot="1">
      <c r="B135" s="811"/>
      <c r="C135" s="812"/>
      <c r="D135" s="813"/>
      <c r="E135" s="214" t="s">
        <v>202</v>
      </c>
      <c r="F135" s="215">
        <f>SUMIFS($L$11:$L$31,$C$11:$C$31,$B134,$T$11:$T$31,$E135)</f>
        <v>7.4877695999999994E-2</v>
      </c>
      <c r="G135" s="215">
        <f>SUMIFS($L$40:$L$60,$C$40:$C$60,$B134,$T$40:$T$60,$E135)+SUMIFS($L$68:$L$88,$C$68:$C$88,B134,$AG$68:$AG$88,E135)+SUMIFS($AE$11:$AE$31,$C$11:$C$31,B134,$T$11:$T$31,E135)</f>
        <v>0.13708367096599294</v>
      </c>
      <c r="H135" s="215">
        <f>G135-F135</f>
        <v>6.220597496599295E-2</v>
      </c>
      <c r="I135" s="502" t="str">
        <f>IF(F135=0,"N/A",IF(H135&lt;0,"No ▲","Yes ✓"))</f>
        <v>Yes ✓</v>
      </c>
      <c r="J135" s="157">
        <f t="shared" ref="J135:J140" si="55">IF(I135="No ▲",1,0)</f>
        <v>0</v>
      </c>
      <c r="R135" s="654"/>
    </row>
    <row r="136" spans="2:18" s="25" customFormat="1" ht="15.65" customHeight="1" thickBot="1">
      <c r="J136" s="157"/>
      <c r="M136" s="26"/>
      <c r="R136" s="654"/>
    </row>
    <row r="137" spans="2:18" s="25" customFormat="1" ht="37">
      <c r="B137" s="740" t="s">
        <v>194</v>
      </c>
      <c r="C137" s="741"/>
      <c r="D137" s="741"/>
      <c r="E137" s="742"/>
      <c r="F137" s="126" t="s">
        <v>195</v>
      </c>
      <c r="G137" s="126" t="s">
        <v>196</v>
      </c>
      <c r="H137" s="126" t="s">
        <v>197</v>
      </c>
      <c r="I137" s="127" t="s">
        <v>198</v>
      </c>
      <c r="J137" s="157"/>
      <c r="M137" s="26"/>
      <c r="R137" s="654"/>
    </row>
    <row r="138" spans="2:18" s="25" customFormat="1" ht="30.65" customHeight="1">
      <c r="B138" s="803" t="s">
        <v>212</v>
      </c>
      <c r="C138" s="804"/>
      <c r="D138" s="804"/>
      <c r="E138" s="805"/>
      <c r="F138" s="122">
        <f>SUMIFS($L$11:$L$31,$T$11:$T$31,"Medium")</f>
        <v>7.4877695999999994E-2</v>
      </c>
      <c r="G138" s="156">
        <f>IF(L61+L89+P1=0,0,SUMIFS($L$40:$L$60,$T$40:$T$60,"Medium")+SUMIFS($L$68:$L$87,$AG$68:$AG$87,"Medium")+SUMIFS($AE$11:$AE$31,$T$11:$T$31,"Medium"))</f>
        <v>0.14863832849029296</v>
      </c>
      <c r="H138" s="122">
        <f>IFERROR(G138-F138,"")</f>
        <v>7.3760632490292966E-2</v>
      </c>
      <c r="I138" s="329" t="str">
        <f>IF(G138="","",IF(H138&gt;=0,"Yes ✓","No ▲"))</f>
        <v>Yes ✓</v>
      </c>
      <c r="J138" s="157">
        <f t="shared" si="55"/>
        <v>0</v>
      </c>
      <c r="R138" s="654" t="s">
        <v>52</v>
      </c>
    </row>
    <row r="139" spans="2:18" s="25" customFormat="1" ht="30.65" customHeight="1">
      <c r="B139" s="803" t="s">
        <v>213</v>
      </c>
      <c r="C139" s="804"/>
      <c r="D139" s="804"/>
      <c r="E139" s="805"/>
      <c r="F139" s="122">
        <f>SUMIFS($L$11:$L$31,$T$11:$T$31,"Low")</f>
        <v>0.29546</v>
      </c>
      <c r="G139" s="156">
        <f>IF(L61+L89+P1=0,0,SUMIFS($L$40:$L$60,$T$40:$T$60,"Low")+SUMIFS($L$68:$L$88,$AG$68:$AG$88,"Low")+SUMIFS($AE$11:$AE$31,$T$11:$T$31,"Low"))</f>
        <v>0.26363999999999999</v>
      </c>
      <c r="H139" s="122">
        <f>IFERROR(G139-F139,"")</f>
        <v>-3.1820000000000015E-2</v>
      </c>
      <c r="I139" s="329" t="str">
        <f>IF($I$142&gt;=0,"Yes ✓","No ▲")</f>
        <v>Yes ✓</v>
      </c>
      <c r="J139" s="157">
        <f t="shared" si="55"/>
        <v>0</v>
      </c>
      <c r="R139" s="654"/>
    </row>
    <row r="140" spans="2:18" s="25" customFormat="1" ht="41.25" customHeight="1" thickBot="1">
      <c r="B140" s="806" t="s">
        <v>214</v>
      </c>
      <c r="C140" s="807"/>
      <c r="D140" s="807"/>
      <c r="E140" s="808"/>
      <c r="F140" s="800">
        <f>IFERROR(H138+H139,"")</f>
        <v>4.1940632490292951E-2</v>
      </c>
      <c r="G140" s="801"/>
      <c r="H140" s="802"/>
      <c r="I140" s="330" t="str">
        <f>IF(F140="","",IF(F140&gt;=0,"Yes ✓","No ▲"))</f>
        <v>Yes ✓</v>
      </c>
      <c r="J140" s="157">
        <f t="shared" si="55"/>
        <v>0</v>
      </c>
      <c r="R140" s="654"/>
    </row>
    <row r="141" spans="2:18" s="25" customFormat="1">
      <c r="R141" s="654"/>
    </row>
    <row r="142" spans="2:18" s="25" customFormat="1">
      <c r="I142" s="434">
        <f>IF($H$138&gt;0,($H$139+$H$138),$H$139)</f>
        <v>4.1940632490292951E-2</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F46" sqref="F46:G46"/>
    </sheetView>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8.5000000000000006E-3</v>
      </c>
      <c r="R1" s="654" t="s">
        <v>52</v>
      </c>
      <c r="T1" s="26"/>
    </row>
    <row r="2" spans="1:35" s="25" customFormat="1" ht="19.899999999999999" customHeight="1">
      <c r="B2" s="80" t="s">
        <v>53</v>
      </c>
      <c r="C2" s="828" t="str">
        <f>IF('2. Site Details'!D4="","Enter site name on 2. Site Details",'2. Site Details'!D4)</f>
        <v>Valldata House, 2a Halifax Road, Bowerhill, SN12 6YY</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2E-3</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1.9563610820999999E-2</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1.7563610820999997E-2</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5"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9">
      <c r="A11" s="89"/>
      <c r="B11" s="270">
        <v>1</v>
      </c>
      <c r="C11" s="551" t="s">
        <v>223</v>
      </c>
      <c r="D11" s="883" t="s">
        <v>240</v>
      </c>
      <c r="E11" s="884"/>
      <c r="F11" s="909" t="s">
        <v>112</v>
      </c>
      <c r="G11" s="910"/>
      <c r="H11" s="911"/>
      <c r="I11" s="302">
        <v>6.5</v>
      </c>
      <c r="J11" s="303">
        <v>6.5</v>
      </c>
      <c r="K11" s="304"/>
      <c r="L11" s="295">
        <f>IF(D11="","",IFERROR(IF(I11="","",((I11/1000)*V11*X11)*AD11),"This intervention is not permitted within the SSM ▲"))</f>
        <v>6.4999999999999997E-3</v>
      </c>
      <c r="M11" s="314">
        <f>IF(I11="","",IF(J11+K11&gt;I11,"Length Error ▲",I11-J11-K11))</f>
        <v>0</v>
      </c>
      <c r="N11" s="296">
        <f>IFERROR(IF(I11="","",IF(M11="Length Error ▲","Length Error ▲",((M11/1000)*V11*X11)*AD11)),"This intervention is not permitted within the SSM ▲")</f>
        <v>0</v>
      </c>
      <c r="O11" s="143"/>
      <c r="P11" s="144"/>
      <c r="R11" s="654"/>
      <c r="T11" s="663" t="str">
        <f>IF(D11="","",VLOOKUP(D11,'9. All Habitats + Multipliers'!$C$4:$K$102,5,FALSE))</f>
        <v>V.Low</v>
      </c>
      <c r="U11" s="664"/>
      <c r="V11" s="344">
        <f>IF(T11="","",VLOOKUP(T11,'11. Lists'!$S$47:$U$50,2,FALSE))</f>
        <v>1</v>
      </c>
      <c r="W11" s="93" t="str">
        <f>IF(D11="","",VLOOKUP(D11,'10. Condition and Temporal'!$B$6:$C$103,2,FALSE))</f>
        <v>Poor</v>
      </c>
      <c r="X11" s="94">
        <f>IF(W11="","",VLOOKUP(W11,'11. Lists'!$F$47:$G$51,2,FALSE))</f>
        <v>1</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6.4999999999999997E-3</v>
      </c>
      <c r="AF11" s="299">
        <f>IF(D11="","",((K11/1000)*V11*X11)*AD11)</f>
        <v>0</v>
      </c>
      <c r="AG11" s="96">
        <f>IF(D11="","",M11)</f>
        <v>0</v>
      </c>
      <c r="AH11" s="93" t="str">
        <f>IF(T11="","",VLOOKUP(T11,'11. Lists'!$B$47:$D$49,3,FALSE))</f>
        <v>Compensation Not Required</v>
      </c>
      <c r="AI11" s="94" t="str">
        <f>IF(D11="","",VLOOKUP(D11,'10. Condition and Temporal'!$B$6:$L$103,4,FALSE))</f>
        <v>Enhancement not possible</v>
      </c>
    </row>
    <row r="12" spans="1:35" s="25" customFormat="1" ht="29">
      <c r="B12" s="264">
        <v>2</v>
      </c>
      <c r="C12" s="551" t="s">
        <v>223</v>
      </c>
      <c r="D12" s="672" t="s">
        <v>240</v>
      </c>
      <c r="E12" s="673"/>
      <c r="F12" s="912" t="s">
        <v>112</v>
      </c>
      <c r="G12" s="913"/>
      <c r="H12" s="914"/>
      <c r="I12" s="305">
        <v>2</v>
      </c>
      <c r="J12" s="306">
        <v>0</v>
      </c>
      <c r="K12" s="307"/>
      <c r="L12" s="294">
        <f t="shared" ref="L12:L30" si="0">IF(D12="","",IFERROR(IF(I12="","",((I12/1000)*V12*X12)*AD12),"This intervention is not permitted within the SSM ▲"))</f>
        <v>2E-3</v>
      </c>
      <c r="M12" s="301">
        <f t="shared" ref="M12:M30" si="1">IF(I12="","",IF(J12+K12&gt;I12,"Length Error ▲",I12-J12-K12))</f>
        <v>2</v>
      </c>
      <c r="N12" s="290">
        <f t="shared" ref="N12:N30" si="2">IFERROR(IF(I12="","",IF(M12="Length Error ▲","Length Error ▲",((M12/1000)*V12*X12)*AD12)),"This intervention is not permitted within the SSM ▲")</f>
        <v>2E-3</v>
      </c>
      <c r="O12" s="68"/>
      <c r="P12" s="3"/>
      <c r="R12" s="654"/>
      <c r="T12" s="663" t="str">
        <f>IF(D12="","",VLOOKUP(D12,'9. All Habitats + Multipliers'!$C$4:$K$102,5,FALSE))</f>
        <v>V.Low</v>
      </c>
      <c r="U12" s="664"/>
      <c r="V12" s="344">
        <f>IF(T12="","",VLOOKUP(T12,'11. Lists'!$S$47:$U$50,2,FALSE))</f>
        <v>1</v>
      </c>
      <c r="W12" s="93" t="str">
        <f>IF(D12="","",VLOOKUP(D12,'10. Condition and Temporal'!$B$6:$C$103,2,FALSE))</f>
        <v>Poor</v>
      </c>
      <c r="X12" s="94">
        <f>IF(W12="","",VLOOKUP(W12,'11. Lists'!$F$47:$G$51,2,FALSE))</f>
        <v>1</v>
      </c>
      <c r="Y12" s="48"/>
      <c r="Z12" s="48"/>
      <c r="AA12" s="48"/>
      <c r="AB12" s="184" t="str">
        <f>IF(F12="","",F12)</f>
        <v>Area/compensation not in local strategy/ no local strategy</v>
      </c>
      <c r="AC12" s="95" t="str">
        <f>IF(AB12="","",VLOOKUP(AB12,'11. Lists'!$F$36:$H$38,2,FALSE))</f>
        <v>Low Strategic Significance</v>
      </c>
      <c r="AD12" s="94">
        <f>IF(AB12="","",VLOOKUP(AB12,'11. Lists'!$F$36:$H$38,3,FALSE))</f>
        <v>1</v>
      </c>
      <c r="AE12" s="298">
        <f t="shared" ref="AE12:AE30" si="3">IF(D12="","",((J12/1000)*V12*X12)*AD12)</f>
        <v>0</v>
      </c>
      <c r="AF12" s="299">
        <f t="shared" ref="AF12:AF30" si="4">IF(D12="","",((K12/1000)*V12*X12)*AD12)</f>
        <v>0</v>
      </c>
      <c r="AG12" s="96">
        <f t="shared" ref="AG12:AG30" si="5">IF(D12="","",M12)</f>
        <v>2</v>
      </c>
      <c r="AH12" s="93" t="str">
        <f>IF(T12="","",VLOOKUP(T12,'11. Lists'!$B$47:$D$49,3,FALSE))</f>
        <v>Compensation Not Required</v>
      </c>
      <c r="AI12" s="94" t="str">
        <f>IF(D12="","",VLOOKUP(D12,'10. Condition and Temporal'!$B$6:$L$103,4,FALSE))</f>
        <v>Enhancement not possible</v>
      </c>
    </row>
    <row r="13" spans="1:35" s="25" customFormat="1" ht="29">
      <c r="B13" s="264">
        <v>3</v>
      </c>
      <c r="C13" s="551" t="s">
        <v>223</v>
      </c>
      <c r="D13" s="672" t="s">
        <v>236</v>
      </c>
      <c r="E13" s="673"/>
      <c r="F13" s="912" t="s">
        <v>112</v>
      </c>
      <c r="G13" s="913"/>
      <c r="H13" s="914"/>
      <c r="I13" s="305">
        <v>0.5</v>
      </c>
      <c r="J13" s="306">
        <v>0.5</v>
      </c>
      <c r="K13" s="307"/>
      <c r="L13" s="294">
        <f t="shared" si="0"/>
        <v>2E-3</v>
      </c>
      <c r="M13" s="301">
        <f t="shared" si="1"/>
        <v>0</v>
      </c>
      <c r="N13" s="290">
        <f t="shared" si="2"/>
        <v>0</v>
      </c>
      <c r="O13" s="286"/>
      <c r="P13" s="3"/>
      <c r="R13" s="654"/>
      <c r="T13" s="663" t="str">
        <f>IF(D13="","",VLOOKUP(D13,'9. All Habitats + Multipliers'!$C$4:$K$102,5,FALSE))</f>
        <v>Low</v>
      </c>
      <c r="U13" s="664"/>
      <c r="V13" s="344">
        <f>IF(T13="","",VLOOKUP(T13,'11. Lists'!$S$47:$U$50,2,FALSE))</f>
        <v>2</v>
      </c>
      <c r="W13" s="93" t="str">
        <f>IF(D13="","",VLOOKUP(D13,'10. Condition and Temporal'!$B$6:$C$103,2,FALSE))</f>
        <v>Moderate</v>
      </c>
      <c r="X13" s="94">
        <f>IF(W13="","",VLOOKUP(W13,'11. Lists'!$F$47:$G$51,2,FALSE))</f>
        <v>2</v>
      </c>
      <c r="Y13" s="48"/>
      <c r="Z13" s="48"/>
      <c r="AA13" s="48"/>
      <c r="AB13" s="184" t="str">
        <f t="shared" ref="AB13:AB30" si="6">IF(F13="","",F13)</f>
        <v>Area/compensation not in local strategy/ no local strategy</v>
      </c>
      <c r="AC13" s="95" t="str">
        <f>IF(AB13="","",VLOOKUP(AB13,'11. Lists'!$F$36:$H$38,2,FALSE))</f>
        <v>Low Strategic Significance</v>
      </c>
      <c r="AD13" s="94">
        <f>IF(AB13="","",VLOOKUP(AB13,'11. Lists'!$F$36:$H$38,3,FALSE))</f>
        <v>1</v>
      </c>
      <c r="AE13" s="298">
        <f t="shared" si="3"/>
        <v>2E-3</v>
      </c>
      <c r="AF13" s="299">
        <f t="shared" si="4"/>
        <v>0</v>
      </c>
      <c r="AG13" s="96">
        <f t="shared" si="5"/>
        <v>0</v>
      </c>
      <c r="AH13" s="93" t="str">
        <f>IF(T13="","",VLOOKUP(T13,'11. Lists'!$B$47:$D$49,3,FALSE))</f>
        <v>Same distinctiveness or better habitat required</v>
      </c>
      <c r="AI13" s="94" t="str">
        <f>IF(D13="","",VLOOKUP(D13,'10. Condition and Temporal'!$B$6:$L$103,4,FALSE))</f>
        <v>Native hedgerow, Species-rich native hedgerow, Native hedgerow - associated with bank or ditch, Native hedgerow with trees</v>
      </c>
    </row>
    <row r="14" spans="1:35" s="25" customFormat="1" ht="29">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9</v>
      </c>
      <c r="J31" s="312">
        <f t="shared" si="7"/>
        <v>7</v>
      </c>
      <c r="K31" s="313">
        <f t="shared" si="7"/>
        <v>0</v>
      </c>
      <c r="L31" s="279">
        <f t="shared" si="7"/>
        <v>1.0500000000000001E-2</v>
      </c>
      <c r="M31" s="319">
        <f t="shared" si="7"/>
        <v>2</v>
      </c>
      <c r="N31" s="280">
        <f t="shared" si="7"/>
        <v>2E-3</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t="s">
        <v>236</v>
      </c>
      <c r="E39" s="105" t="str">
        <f>IF(D39="","",VLOOKUP(D39,'10. Condition and Temporal'!$B$6:$D$103,3,FALSE))</f>
        <v>Moderate, Good</v>
      </c>
      <c r="F39" s="897" t="s">
        <v>383</v>
      </c>
      <c r="G39" s="898"/>
      <c r="H39" s="72" t="s">
        <v>112</v>
      </c>
      <c r="I39" s="718">
        <v>5</v>
      </c>
      <c r="J39" s="719"/>
      <c r="K39" s="719"/>
      <c r="L39" s="899">
        <f>IF(D39="","",IFERROR(IF(I39="","",((I39/1000)*(V39*X39))*(AH39*AF39)*AD39),"This intervention is not permitted within the SSM ▲"))</f>
        <v>1.9563610820999999E-2</v>
      </c>
      <c r="M39" s="900"/>
      <c r="N39" s="901"/>
      <c r="O39" s="210"/>
      <c r="P39" s="1"/>
      <c r="Q39" s="106"/>
      <c r="R39" s="654"/>
      <c r="T39" s="663" t="str">
        <f>IF(D39="","",VLOOKUP(D39,'9. All Habitats + Multipliers'!$C$4:$K$102,5,FALSE))</f>
        <v>Low</v>
      </c>
      <c r="U39" s="664"/>
      <c r="V39" s="344">
        <f>IF(T39="","",VLOOKUP(T39,'11. Lists'!$S$47:$U$50,2,FALSE))</f>
        <v>2</v>
      </c>
      <c r="W39" s="93" t="str">
        <f>IF(F39="","",F39)</f>
        <v>Good</v>
      </c>
      <c r="X39" s="94">
        <f>IF(W39="","",VLOOKUP(W39,'11. Lists'!$F$47:$G$51,2,FALSE))</f>
        <v>3</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29">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5</v>
      </c>
      <c r="J59" s="819"/>
      <c r="K59" s="820"/>
      <c r="L59" s="864">
        <f>SUM(L39:N58)</f>
        <v>1.9563610820999999E-2</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5"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 ca="1">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ca="1"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ca="1" si="52"/>
        <v>0</v>
      </c>
      <c r="G105" s="433">
        <f ca="1">$F$105-$E$105</f>
        <v>0</v>
      </c>
      <c r="H105" s="857"/>
      <c r="I105" s="430"/>
      <c r="R105" s="654"/>
    </row>
    <row r="106" spans="2:18" s="25" customFormat="1" ht="30.75" customHeight="1">
      <c r="B106" s="920"/>
      <c r="C106" s="923"/>
      <c r="D106" s="432" t="s">
        <v>233</v>
      </c>
      <c r="E106" s="433">
        <f t="shared" ca="1" si="51"/>
        <v>0</v>
      </c>
      <c r="F106" s="433">
        <f t="shared" ca="1" si="52"/>
        <v>0</v>
      </c>
      <c r="G106" s="433">
        <f ca="1">$F$106-$E$106</f>
        <v>0</v>
      </c>
      <c r="H106" s="857"/>
      <c r="I106" s="430"/>
      <c r="R106" s="654"/>
    </row>
    <row r="107" spans="2:18" s="25" customFormat="1" ht="30.75" customHeight="1">
      <c r="B107" s="920"/>
      <c r="C107" s="923"/>
      <c r="D107" s="432" t="s">
        <v>234</v>
      </c>
      <c r="E107" s="433">
        <f t="shared" ca="1" si="51"/>
        <v>0</v>
      </c>
      <c r="F107" s="433">
        <f t="shared" ca="1" si="52"/>
        <v>0</v>
      </c>
      <c r="G107" s="433">
        <f ca="1">$F$107-$E$107</f>
        <v>0</v>
      </c>
      <c r="H107" s="857"/>
      <c r="I107" s="157"/>
      <c r="R107" s="654"/>
    </row>
    <row r="108" spans="2:18" s="25" customFormat="1" ht="30.75" customHeight="1" thickBot="1">
      <c r="B108" s="920"/>
      <c r="C108" s="924"/>
      <c r="D108" s="444" t="s">
        <v>235</v>
      </c>
      <c r="E108" s="445">
        <f ca="1">SUM($E$103:$E$107)</f>
        <v>0</v>
      </c>
      <c r="F108" s="445">
        <f ca="1">SUM($F$103:$F$107)</f>
        <v>0</v>
      </c>
      <c r="G108" s="445">
        <f ca="1">SUM($G$103:$G$107)</f>
        <v>0</v>
      </c>
      <c r="H108" s="858"/>
      <c r="I108" s="157">
        <f ca="1">IF($H$103="No ▲",1,0)</f>
        <v>0</v>
      </c>
      <c r="R108" s="654"/>
    </row>
    <row r="109" spans="2:18" s="25" customFormat="1" ht="30.75" customHeight="1">
      <c r="B109" s="920"/>
      <c r="C109" s="922" t="s">
        <v>200</v>
      </c>
      <c r="D109" s="452" t="s">
        <v>236</v>
      </c>
      <c r="E109" s="453">
        <f t="shared" ca="1" si="51"/>
        <v>2E-3</v>
      </c>
      <c r="F109" s="453">
        <f t="shared" ca="1" si="52"/>
        <v>2.1563610821000001E-2</v>
      </c>
      <c r="G109" s="453">
        <f ca="1">$F$109-$E$109</f>
        <v>1.9563610820999999E-2</v>
      </c>
      <c r="H109" s="856" t="str">
        <f ca="1">IF(G112&gt;=0,"Yes ✓",IF(E114&gt;=0,"Yes ✓","No ▲"))</f>
        <v>Yes ✓</v>
      </c>
      <c r="I109" s="157"/>
      <c r="R109" s="654"/>
    </row>
    <row r="110" spans="2:18" s="25" customFormat="1" ht="30.75" customHeight="1">
      <c r="B110" s="920"/>
      <c r="C110" s="923"/>
      <c r="D110" s="432" t="s">
        <v>237</v>
      </c>
      <c r="E110" s="433">
        <f t="shared" ca="1" si="51"/>
        <v>0</v>
      </c>
      <c r="F110" s="433">
        <f t="shared" ca="1" si="52"/>
        <v>0</v>
      </c>
      <c r="G110" s="433">
        <f ca="1">$F$110-$E$110</f>
        <v>0</v>
      </c>
      <c r="H110" s="857"/>
      <c r="I110" s="157"/>
      <c r="R110" s="654"/>
    </row>
    <row r="111" spans="2:18" s="25" customFormat="1" ht="30.75" customHeight="1">
      <c r="B111" s="920"/>
      <c r="C111" s="923"/>
      <c r="D111" s="432" t="s">
        <v>238</v>
      </c>
      <c r="E111" s="433">
        <f t="shared" ca="1" si="51"/>
        <v>0</v>
      </c>
      <c r="F111" s="433">
        <f t="shared" ca="1" si="52"/>
        <v>0</v>
      </c>
      <c r="G111" s="433">
        <f ca="1">$F$111-$E$111</f>
        <v>0</v>
      </c>
      <c r="H111" s="857"/>
      <c r="I111" s="157"/>
      <c r="R111" s="654"/>
    </row>
    <row r="112" spans="2:18" s="25" customFormat="1" ht="30.75" customHeight="1" thickBot="1">
      <c r="B112" s="920"/>
      <c r="C112" s="924"/>
      <c r="D112" s="444" t="s">
        <v>235</v>
      </c>
      <c r="E112" s="445">
        <f ca="1">SUM($E$109:$E$111)</f>
        <v>2E-3</v>
      </c>
      <c r="F112" s="445">
        <f ca="1">SUM($F$109:$F$111)</f>
        <v>2.1563610821000001E-2</v>
      </c>
      <c r="G112" s="445">
        <f ca="1">SUM($G$109:$G$111)</f>
        <v>1.9563610820999999E-2</v>
      </c>
      <c r="H112" s="858"/>
      <c r="I112" s="157">
        <f ca="1">IF($H$109="No ▲",1,0)</f>
        <v>0</v>
      </c>
      <c r="R112" s="654"/>
    </row>
    <row r="113" spans="2:18" s="25" customFormat="1" ht="30.75" customHeight="1" thickBot="1">
      <c r="B113" s="921"/>
      <c r="C113" s="446" t="s">
        <v>239</v>
      </c>
      <c r="D113" s="454" t="s">
        <v>240</v>
      </c>
      <c r="E113" s="455">
        <f t="shared" ca="1" si="51"/>
        <v>8.5000000000000006E-3</v>
      </c>
      <c r="F113" s="455">
        <f t="shared" ca="1" si="52"/>
        <v>6.4999999999999997E-3</v>
      </c>
      <c r="G113" s="455">
        <f ca="1">$F$113-$E$113</f>
        <v>-2.0000000000000009E-3</v>
      </c>
      <c r="H113" s="449" t="str">
        <f ca="1">IF(G113&gt;=0,"Yes✓",IF(F114&gt;=0,"Yes ✓","No ▲"))</f>
        <v>Yes ✓</v>
      </c>
      <c r="I113" s="157">
        <f ca="1">IF($H$113="No ▲",1,0)</f>
        <v>0</v>
      </c>
      <c r="R113" s="654"/>
    </row>
    <row r="114" spans="2:18" s="25" customFormat="1" ht="15" thickBot="1">
      <c r="E114" s="457">
        <f ca="1">G108+G112</f>
        <v>1.9563610820999999E-2</v>
      </c>
      <c r="F114" s="434">
        <f ca="1">IF(G108&lt;0,0,($G$108+$G$112+$G$113))</f>
        <v>1.7563610820999997E-2</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1.9563610820999999E-2</v>
      </c>
      <c r="G116" s="434">
        <f ca="1">IF($G$108&lt;=0,0,($G$108+$G$112+$G$113))</f>
        <v>0</v>
      </c>
      <c r="R116" s="654"/>
    </row>
    <row r="117" spans="2:18" s="25" customFormat="1" ht="24" customHeight="1" thickBot="1">
      <c r="B117" s="918" t="s">
        <v>243</v>
      </c>
      <c r="C117" s="636"/>
      <c r="D117" s="636"/>
      <c r="E117" s="636"/>
      <c r="F117" s="438">
        <f ca="1">IF($F$116&gt;0,($F$116+$G$113),$G$113)</f>
        <v>1.7563610820999997E-2</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Valldata House, 2a Halifax Road, Bowerhill, SN12 6YY</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5"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5">
      <c r="C108" s="828" t="s">
        <v>259</v>
      </c>
      <c r="D108" s="976"/>
      <c r="E108" s="976"/>
      <c r="F108" s="976"/>
      <c r="G108" s="437">
        <f ca="1">$H$105</f>
        <v>0</v>
      </c>
      <c r="H108" s="431"/>
      <c r="J108" s="430"/>
      <c r="R108" s="654"/>
      <c r="AJ108" s="157"/>
      <c r="AK108" s="157"/>
      <c r="AL108" s="157"/>
      <c r="AM108" s="157"/>
      <c r="AN108" s="157"/>
    </row>
    <row r="109" spans="3:40" s="25" customFormat="1" ht="19"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1" zoomScale="80" zoomScaleNormal="80" workbookViewId="0">
      <selection activeCell="D28" sqref="D28:E28"/>
    </sheetView>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8" t="s">
        <v>53</v>
      </c>
      <c r="C2" s="649"/>
      <c r="D2" s="638" t="str">
        <f>IF('2. Site Details'!D4="","Enter site name on 2. Site Details",'2. Site Details'!D4)</f>
        <v>Valldata House, 2a Halifax Road, Bowerhill, SN12 6YY</v>
      </c>
      <c r="E2" s="639"/>
      <c r="F2" s="497"/>
      <c r="G2" s="52"/>
      <c r="H2" s="52"/>
      <c r="I2" s="52"/>
      <c r="J2" s="52"/>
      <c r="K2" s="52"/>
      <c r="L2" s="52"/>
      <c r="M2" s="52"/>
      <c r="N2" s="52"/>
      <c r="O2" s="52"/>
      <c r="P2" s="52"/>
      <c r="Q2" s="52"/>
      <c r="R2" s="52"/>
      <c r="S2" s="52"/>
      <c r="T2" s="52"/>
      <c r="U2" s="52"/>
      <c r="V2" s="52"/>
      <c r="W2" s="52"/>
      <c r="X2" s="25"/>
    </row>
    <row r="3" spans="1:24" ht="24.65"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3" t="s">
        <v>266</v>
      </c>
      <c r="C11" s="273" t="s">
        <v>1046</v>
      </c>
      <c r="D11" s="484">
        <f>IF('5. Area Habitats'!L32=0,"Zero Units Baseline",'5. Area Habitats'!L32)</f>
        <v>0.37033769599999999</v>
      </c>
      <c r="E11" s="485"/>
      <c r="F11" s="491">
        <f>('2. Site Details'!$D$13/100)*$D$11</f>
        <v>3.7033769600000002E-2</v>
      </c>
      <c r="G11" s="379"/>
      <c r="H11" s="29"/>
      <c r="I11" s="29"/>
      <c r="J11" s="29"/>
      <c r="K11" s="29"/>
      <c r="L11" s="29"/>
      <c r="M11" s="29"/>
      <c r="N11" s="29"/>
      <c r="O11" s="29"/>
      <c r="P11" s="29"/>
      <c r="Q11" s="54"/>
      <c r="R11" s="29"/>
      <c r="S11" s="52"/>
      <c r="T11" s="52"/>
      <c r="U11" s="52"/>
      <c r="V11" s="52"/>
      <c r="W11" s="52"/>
      <c r="X11" s="25"/>
    </row>
    <row r="12" spans="1:24" ht="24.65" customHeight="1">
      <c r="A12" s="25"/>
      <c r="B12" s="984"/>
      <c r="C12" s="274" t="s">
        <v>268</v>
      </c>
      <c r="D12" s="486">
        <f>IF('6. Hedges &amp; Lines of Trees'!L31=0,"Zero Units Baseline",'6. Hedges &amp; Lines of Trees'!L31)</f>
        <v>1.0500000000000001E-2</v>
      </c>
      <c r="E12" s="487"/>
      <c r="F12" s="491">
        <f>('2. Site Details'!$D$14/100)*$D$12</f>
        <v>1.0500000000000002E-3</v>
      </c>
      <c r="G12" s="380"/>
      <c r="H12" s="29"/>
      <c r="I12" s="29"/>
      <c r="J12" s="29"/>
      <c r="K12" s="29"/>
      <c r="L12" s="29"/>
      <c r="M12" s="29"/>
      <c r="N12" s="29"/>
      <c r="O12" s="29"/>
      <c r="P12" s="29"/>
      <c r="Q12" s="54"/>
      <c r="R12" s="29"/>
      <c r="S12" s="52"/>
      <c r="T12" s="52"/>
      <c r="U12" s="52"/>
      <c r="V12" s="52"/>
      <c r="W12" s="52"/>
      <c r="X12" s="25"/>
    </row>
    <row r="13" spans="1:24" ht="24.65"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3" t="s">
        <v>271</v>
      </c>
      <c r="C15" s="273" t="s">
        <v>1046</v>
      </c>
      <c r="D15" s="484">
        <f>'5. Area Habitats'!P3+'5. Area Habitats'!P4+'5. Area Habitats'!P1</f>
        <v>0.41227832849029294</v>
      </c>
      <c r="E15" s="485"/>
      <c r="F15" s="492">
        <f>D11+F11</f>
        <v>0.40737146559999998</v>
      </c>
      <c r="G15" s="29"/>
      <c r="H15" s="29"/>
      <c r="I15" s="29"/>
      <c r="J15" s="29"/>
      <c r="K15" s="29"/>
      <c r="L15" s="29"/>
      <c r="M15" s="29"/>
      <c r="N15" s="29"/>
      <c r="O15" s="29"/>
      <c r="P15" s="29"/>
      <c r="Q15" s="54"/>
      <c r="R15" s="29"/>
      <c r="S15" s="52"/>
      <c r="T15" s="52"/>
      <c r="U15" s="52"/>
      <c r="V15" s="52"/>
      <c r="W15" s="52"/>
      <c r="X15" s="25"/>
    </row>
    <row r="16" spans="1:24" ht="24.65" customHeight="1">
      <c r="A16" s="25"/>
      <c r="B16" s="984"/>
      <c r="C16" s="274" t="s">
        <v>268</v>
      </c>
      <c r="D16" s="486">
        <f>'6. Hedges &amp; Lines of Trees'!P3+'6. Hedges &amp; Lines of Trees'!P4+'6. Hedges &amp; Lines of Trees'!P1</f>
        <v>2.8063610821E-2</v>
      </c>
      <c r="E16" s="487"/>
      <c r="F16" s="492">
        <f>D12+F12</f>
        <v>1.1550000000000001E-2</v>
      </c>
      <c r="G16" s="29"/>
      <c r="H16" s="29"/>
      <c r="I16" s="29"/>
      <c r="J16" s="29"/>
      <c r="K16" s="29"/>
      <c r="L16" s="29"/>
      <c r="M16" s="29"/>
      <c r="N16" s="29"/>
      <c r="O16" s="29"/>
      <c r="P16" s="29"/>
      <c r="Q16" s="54"/>
      <c r="R16" s="29"/>
      <c r="S16" s="52"/>
      <c r="T16" s="52"/>
      <c r="U16" s="52"/>
      <c r="V16" s="52"/>
      <c r="W16" s="52"/>
      <c r="X16" s="25"/>
    </row>
    <row r="17" spans="1:24" ht="24.65"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3" t="s">
        <v>272</v>
      </c>
      <c r="C19" s="529" t="s">
        <v>1046</v>
      </c>
      <c r="D19" s="534">
        <f>'5. Area Habitats'!P5</f>
        <v>4.1940632490292951E-2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4"/>
      <c r="C20" s="530" t="s">
        <v>268</v>
      </c>
      <c r="D20" s="536">
        <f>'6. Hedges &amp; Lines of Trees'!P5</f>
        <v>1.7563610820999997E-2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5"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92" t="s">
        <v>273</v>
      </c>
      <c r="C23" s="529" t="s">
        <v>1046</v>
      </c>
      <c r="D23" s="538">
        <f>IF(D11="Zero Units Baseline","% target not appropriate",D19/D11)</f>
        <v>0.11324969870281029</v>
      </c>
      <c r="E23" s="539" t="str" cm="1">
        <f t="array" ref="E23">_xlfn.IFS(D23&gt;=F19,"✓",D23&lt;0,"▲", D23&lt;F19,"⚠")</f>
        <v>✓</v>
      </c>
      <c r="F23" s="491">
        <f>$D$23*100</f>
        <v>11.324969870281029</v>
      </c>
      <c r="G23" s="29"/>
      <c r="H23" s="29"/>
      <c r="I23" s="29"/>
      <c r="J23" s="29"/>
      <c r="K23" s="29"/>
      <c r="L23" s="29"/>
      <c r="M23" s="29"/>
      <c r="N23" s="29"/>
      <c r="O23" s="29"/>
      <c r="P23" s="29"/>
      <c r="Q23" s="54"/>
      <c r="R23" s="29"/>
      <c r="S23" s="52"/>
      <c r="T23" s="52"/>
      <c r="U23" s="52"/>
      <c r="V23" s="52"/>
      <c r="W23" s="52"/>
      <c r="X23" s="25"/>
    </row>
    <row r="24" spans="1:24" ht="24.65" customHeight="1">
      <c r="A24" s="25"/>
      <c r="B24" s="995"/>
      <c r="C24" s="530" t="s">
        <v>268</v>
      </c>
      <c r="D24" s="540">
        <f>IF(D12="Zero Units Baseline","% target not appropriate",D20/D12)</f>
        <v>1.6727248400952377</v>
      </c>
      <c r="E24" s="541" t="str" cm="1">
        <f t="array" ref="E24">_xlfn.IFS(D24&gt;=F20,"✓",D24&lt;0,"▲", D24&lt;F20,"⚠")</f>
        <v>✓</v>
      </c>
      <c r="F24" s="491">
        <f>$D$24*100</f>
        <v>167.27248400952377</v>
      </c>
      <c r="G24" s="29"/>
      <c r="H24" s="29"/>
      <c r="I24" s="29"/>
      <c r="J24" s="29"/>
      <c r="K24" s="29"/>
      <c r="L24" s="29"/>
      <c r="M24" s="29"/>
      <c r="N24" s="29"/>
      <c r="O24" s="29"/>
      <c r="P24" s="29"/>
      <c r="Q24" s="54"/>
      <c r="R24" s="29"/>
      <c r="S24" s="52"/>
      <c r="T24" s="52"/>
      <c r="U24" s="52"/>
      <c r="V24" s="52"/>
      <c r="W24" s="52"/>
      <c r="X24" s="25"/>
    </row>
    <row r="25" spans="1:24" ht="24.65"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5"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0.37033769599999999</v>
      </c>
      <c r="D36" s="51">
        <f>D15</f>
        <v>0.41227832849029294</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1.0500000000000001E-2</v>
      </c>
      <c r="D37" s="51">
        <f t="shared" ref="D37:D38" si="2">D16</f>
        <v>2.8063610821E-2</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59"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Ivan Leal</cp:lastModifiedBy>
  <cp:revision/>
  <dcterms:created xsi:type="dcterms:W3CDTF">2020-09-14T13:04:31Z</dcterms:created>
  <dcterms:modified xsi:type="dcterms:W3CDTF">2026-06-03T10:49:27Z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