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C:\Users\mattr\Dropbox\RL Rubix Land Projects\RL 102 Ashley Coombe, Warminster\3. Planning\17. MINERALS\"/>
    </mc:Choice>
  </mc:AlternateContent>
  <xr:revisionPtr revIDLastSave="0" documentId="8_{68B6105C-CF7E-4D59-87F5-490670B18F3C}"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289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2" l="1"/>
  <c r="B12" i="8" l="1"/>
  <c r="F186" i="3"/>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<sst xmlns="http://schemas.openxmlformats.org/spreadsheetml/2006/main" count="1109" uniqueCount="418">
  <si>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</si>
  <si>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</si>
  <si>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</si>
  <si>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</si>
  <si>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</si>
  <si>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</si>
  <si>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</si>
  <si>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</si>
  <si>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</si>
  <si>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</si>
  <si>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</si>
  <si>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</si>
  <si>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</si>
  <si>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</si>
  <si>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</si>
  <si>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</si>
  <si>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</si>
  <si>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</si>
  <si>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</si>
  <si>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</si>
  <si>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</si>
  <si>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</si>
  <si>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</si>
  <si>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</si>
  <si>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</si>
  <si>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</si>
  <si>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</si>
  <si>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</si>
  <si>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</si>
  <si>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</si>
  <si>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</si>
  <si>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</si>
  <si>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</si>
  <si>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</si>
  <si>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</si>
  <si>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</si>
  <si>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</si>
  <si>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</si>
  <si>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</si>
  <si>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</si>
  <si>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</si>
  <si>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</si>
  <si>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</si>
  <si>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</si>
  <si>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</si>
  <si>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</si>
  <si>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</si>
  <si>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</si>
  <si>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</si>
  <si>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</si>
  <si>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</si>
  <si>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</si>
  <si>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</si>
  <si>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</si>
  <si>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</si>
  <si>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</si>
  <si>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</si>
  <si>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</si>
  <si>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</si>
  <si>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</si>
  <si>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</si>
  <si>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</si>
  <si>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</si>
  <si>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</si>
  <si>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</si>
  <si>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</si>
  <si>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</si>
  <si>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</si>
  <si>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</si>
  <si>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</si>
  <si>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</si>
  <si>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</si>
  <si>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</si>
  <si>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</si>
  <si>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</si>
  <si>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</si>
  <si>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</si>
  <si>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</si>
  <si>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</si>
  <si>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</si>
  <si>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</si>
  <si>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</si>
  <si>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</si>
  <si>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</si>
  <si>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</si>
  <si>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</si>
  <si>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</si>
  <si>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</si>
  <si>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</si>
  <si>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</si>
  <si>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</si>
  <si>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</si>
  <si>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</si>
  <si>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</si>
  <si>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</si>
  <si>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</si>
  <si>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</si>
  <si>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</si>
  <si>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</si>
  <si>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</si>
  <si>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</si>
  <si>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</si>
  <si>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</si>
  <si>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</si>
  <si>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</si>
  <si>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</si>
  <si>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</si>
  <si>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</si>
  <si>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</si>
  <si>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</si>
  <si>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</si>
  <si>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</si>
  <si>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</si>
  <si>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</si>
  <si>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</si>
  <si>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</si>
  <si>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</si>
  <si>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</si>
  <si>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</si>
  <si>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</si>
  <si>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</si>
  <si>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</si>
  <si>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</si>
  <si>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</si>
  <si>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</si>
  <si>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</si>
  <si>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</si>
  <si>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</si>
  <si>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</si>
  <si>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</si>
  <si>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</si>
  <si>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</si>
  <si>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</si>
  <si>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</si>
  <si>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</si>
  <si>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</si>
  <si>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</si>
  <si>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</si>
  <si>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</si>
  <si>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</si>
  <si>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</si>
  <si>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</si>
  <si>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</si>
  <si>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</si>
  <si>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</si>
  <si>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</si>
  <si>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</si>
  <si>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</si>
  <si>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</si>
  <si>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</si>
  <si>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</si>
  <si>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</si>
  <si>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</si>
  <si>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</si>
  <si>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</si>
  <si>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</si>
  <si>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</si>
  <si>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</si>
  <si>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</si>
  <si>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</si>
  <si>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</si>
  <si>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</si>
  <si>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</si>
  <si>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</si>
  <si>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</si>
  <si>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</si>
  <si>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</si>
  <si>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</si>
  <si>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</si>
  <si>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</si>
  <si>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</si>
  <si>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</si>
  <si>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</si>
  <si>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</si>
  <si>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</si>
  <si>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</si>
  <si>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</si>
  <si>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</si>
  <si>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</si>
  <si>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</si>
  <si>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</si>
  <si>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</si>
  <si>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</si>
  <si>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</si>
  <si>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</si>
  <si>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</si>
  <si>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</si>
  <si>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</si>
  <si>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</si>
  <si>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</si>
  <si>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</si>
  <si>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</si>
  <si>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</si>
  <si>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</si>
  <si>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</si>
  <si>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</si>
  <si>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</si>
  <si>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</si>
  <si>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</si>
  <si>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</si>
  <si>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</si>
  <si>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</si>
  <si>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</si>
  <si>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</si>
  <si>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</si>
  <si>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</si>
  <si>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</si>
  <si>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</si>
  <si>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</si>
  <si>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</si>
  <si>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</si>
  <si>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</si>
  <si>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</si>
  <si>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</si>
  <si>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</si>
  <si>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</si>
  <si>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</si>
  <si>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</si>
  <si>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</si>
  <si>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</si>
  <si>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</si>
  <si>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</si>
  <si>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</si>
  <si>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</si>
  <si>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</si>
  <si>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</si>
  <si>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</si>
  <si>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</si>
  <si>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</si>
  <si>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</si>
  <si>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</si>
  <si>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</si>
  <si>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</si>
  <si>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</si>
  <si>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</si>
  <si>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</si>
  <si>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</si>
  <si>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</si>
  <si>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</si>
  <si>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</si>
  <si>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</si>
  <si>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</si>
  <si>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</si>
  <si>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</si>
  <si>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</si>
  <si>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</si>
  <si>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</si>
  <si>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</si>
  <si>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</si>
  <si>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</si>
  <si>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</si>
  <si>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</si>
  <si>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</si>
  <si>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</si>
  <si>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</si>
  <si>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</si>
  <si>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</si>
  <si>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</si>
  <si>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</si>
  <si>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</si>
  <si>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</si>
  <si>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</si>
  <si>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</si>
  <si>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</si>
  <si>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</si>
  <si>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</si>
  <si>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</si>
  <si>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</si>
  <si>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</si>
  <si>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</si>
  <si>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</si>
  <si>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</si>
  <si>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</si>
  <si>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</si>
  <si>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</si>
  <si>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</si>
  <si>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</si>
  <si>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</si>
  <si>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</si>
  <si>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</si>
  <si>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</si>
  <si>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</si>
  <si>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</si>
  <si>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</si>
  <si>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</si>
  <si>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</si>
  <si>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</si>
  <si>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</si>
  <si>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</si>
  <si>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</si>
  <si>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</si>
  <si>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</si>
  <si>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</si>
  <si>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</si>
  <si>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</si>
  <si>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</si>
  <si>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</si>
  <si>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</si>
  <si>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</si>
  <si>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</si>
  <si>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</si>
  <si>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</si>
  <si>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</si>
  <si>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</si>
  <si>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</si>
  <si>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</si>
  <si>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</si>
  <si>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</si>
  <si>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</si>
  <si>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</si>
  <si>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</si>
  <si>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</si>
  <si>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</si>
  <si>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</si>
  <si>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</si>
  <si>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</si>
  <si>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</si>
  <si>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</si>
  <si>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</si>
  <si>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</si>
  <si>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</si>
  <si>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</si>
  <si>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</si>
  <si>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</si>
  <si>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</si>
  <si>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</si>
  <si>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</si>
  <si>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</si>
  <si>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</si>
  <si>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</si>
  <si>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</si>
  <si>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</si>
  <si>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</si>
  <si>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</si>
  <si>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</si>
  <si>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</si>
  <si>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</si>
  <si>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</si>
  <si>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</si>
  <si>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</si>
  <si>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</si>
  <si>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</si>
  <si>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</si>
  <si>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</si>
  <si>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</si>
  <si>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</si>
  <si>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</si>
  <si>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</si>
  <si>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</si>
  <si>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</si>
  <si>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</si>
  <si>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</si>
  <si>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</si>
  <si>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</si>
  <si>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</si>
  <si>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</si>
  <si>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</si>
  <si>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</si>
  <si>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</si>
  <si>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</si>
  <si>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</si>
  <si>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</si>
  <si>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</si>
  <si>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</si>
  <si>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</si>
  <si>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</si>
  <si>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</si>
  <si>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</si>
  <si>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</si>
  <si>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</si>
  <si>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</si>
  <si>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</si>
  <si>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</si>
  <si>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</si>
  <si>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</si>
  <si>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</si>
  <si>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</si>
  <si>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</si>
  <si>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</si>
  <si>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</si>
  <si>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</si>
  <si>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</si>
  <si>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</si>
  <si>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</si>
  <si>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</si>
  <si>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</si>
  <si>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</si>
  <si>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</si>
  <si>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</si>
  <si>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</si>
  <si>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</si>
  <si>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</si>
  <si>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</si>
  <si>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</si>
  <si>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</si>
  <si>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</si>
  <si>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</si>
  <si>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</si>
  <si>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</si>
  <si>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</si>
  <si>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</si>
  <si>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</si>
  <si>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</si>
  <si>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</si>
  <si>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</si>
  <si>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</si>
  <si>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</si>
  <si>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</si>
  <si>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</si>
  <si>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</si>
  <si>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</si>
  <si>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</si>
  <si>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</si>
  <si>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</si>
  <si>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</si>
  <si>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</si>
  <si>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</si>
  <si>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Retention Basin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</si>
</sst>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S56/OneDrive%20-%20Ricardo%20Plc/NE%20NN/Copy%20of%20Herefordshire%20Council%20Phosphate%20Budget%20Calculator_Final.xlsx" TargetMode="External"/><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 zoomScaleNormal="100" workbookViewId="0"/>
  </sheetViews>
  <sheetFormatPr defaultColWidth="8.77734375" defaultRowHeight="15" x14ac:dyDescent="0.3"/>
  <cols>
    <col min="1" max="1" width="124.21875" style="6" customWidth="1"/>
    <col min="2" max="2" width="44.77734375" style="6" customWidth="1"/>
    <col min="3" max="207" width="8.5546875" style="6" customWidth="1"/>
    <col min="208" max="16384" width="8.77734375" style="6"/>
  </cols>
  <sheetData>
    <row r="1" spans="1:2" ht="50.55" customHeight="1" x14ac:dyDescent="0.3">
      <c r="A1" s="5" t="s">
        <v>0</v>
      </c>
    </row>
    <row r="2" spans="1:2" ht="23.55" customHeight="1" x14ac:dyDescent="0.3">
      <c r="A2" s="112" t="s">
        <v>1</v>
      </c>
    </row>
    <row r="3" spans="1:2" ht="24" customHeight="1" x14ac:dyDescent="0.3">
      <c r="A3" s="7" t="s">
        <v>2</v>
      </c>
    </row>
    <row r="4" spans="1:2" ht="23.25" customHeight="1" x14ac:dyDescent="0.3">
      <c r="A4" s="7" t="s">
        <v>3</v>
      </c>
    </row>
    <row r="5" spans="1:2" ht="26.25" customHeight="1" x14ac:dyDescent="0.3">
      <c r="A5" s="7" t="s">
        <v>4</v>
      </c>
    </row>
    <row r="6" spans="1:2" ht="26.25" customHeight="1" x14ac:dyDescent="0.3">
      <c r="A6" s="7" t="s">
        <v>5</v>
      </c>
    </row>
    <row r="7" spans="1:2" ht="39.75"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25" customHeight="1" x14ac:dyDescent="0.3">
      <c r="A11" s="7" t="s">
        <v>11</v>
      </c>
      <c r="B11" s="11" t="s">
        <v>12</v>
      </c>
    </row>
    <row r="12" spans="1:2" ht="20.25" customHeight="1" x14ac:dyDescent="0.3">
      <c r="A12" s="7" t="s">
        <v>13</v>
      </c>
      <c r="B12" s="11" t="s">
        <v>14</v>
      </c>
    </row>
    <row r="13" spans="1:2" ht="20.25" customHeight="1" x14ac:dyDescent="0.3">
      <c r="A13" s="7" t="s">
        <v>15</v>
      </c>
      <c r="B13" s="11" t="s">
        <v>16</v>
      </c>
    </row>
    <row r="14" spans="1:2" ht="20.25" customHeight="1" x14ac:dyDescent="0.3">
      <c r="A14" s="7" t="s">
        <v>17</v>
      </c>
      <c r="B14" s="11" t="s">
        <v>18</v>
      </c>
    </row>
    <row r="15" spans="1:2" ht="20.25"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549999999999997"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55000000000001" customHeight="1" x14ac:dyDescent="0.3">
      <c r="A32" s="7" t="s">
        <v>37</v>
      </c>
    </row>
    <row r="33" spans="1:2" ht="53.25" customHeight="1" x14ac:dyDescent="0.3">
      <c r="A33" s="7" t="s">
        <v>38</v>
      </c>
    </row>
    <row r="34" spans="1:2" ht="43.5" customHeight="1" x14ac:dyDescent="0.3">
      <c r="A34" s="7" t="s">
        <v>39</v>
      </c>
    </row>
    <row r="35" spans="1:2" ht="40.049999999999997" customHeight="1" x14ac:dyDescent="0.3">
      <c r="A35" s="7" t="s">
        <v>40</v>
      </c>
    </row>
    <row r="36" spans="1:2" ht="156.75"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25" customHeight="1" x14ac:dyDescent="0.3">
      <c r="A40" s="11" t="s">
        <v>45</v>
      </c>
    </row>
    <row r="41" spans="1:2" ht="37.049999999999997" customHeight="1" x14ac:dyDescent="0.3">
      <c r="A41" s="8" t="s">
        <v>46</v>
      </c>
    </row>
    <row r="42" spans="1:2" ht="37.5" customHeight="1" x14ac:dyDescent="0.3">
      <c r="A42" s="9" t="s">
        <v>47</v>
      </c>
      <c r="B42" s="13"/>
    </row>
    <row r="43" spans="1:2" ht="41.55" customHeight="1" x14ac:dyDescent="0.3">
      <c r="A43" s="113" t="s">
        <v>48</v>
      </c>
      <c r="B43" s="14"/>
    </row>
    <row r="44" spans="1:2" ht="27" customHeight="1" x14ac:dyDescent="0.3">
      <c r="A44" s="113" t="s">
        <v>49</v>
      </c>
      <c r="B44" s="14"/>
    </row>
    <row r="45" spans="1:2" ht="42.75" customHeight="1" x14ac:dyDescent="0.3">
      <c r="A45" s="11" t="s">
        <v>50</v>
      </c>
      <c r="B45" s="14"/>
    </row>
    <row r="46" spans="1:2" ht="41.55" customHeight="1" x14ac:dyDescent="0.3">
      <c r="A46" s="114" t="s">
        <v>51</v>
      </c>
      <c r="B46" s="14"/>
    </row>
    <row r="47" spans="1:2" ht="37.049999999999997" customHeight="1" x14ac:dyDescent="0.3">
      <c r="A47" s="8" t="s">
        <v>52</v>
      </c>
    </row>
    <row r="48" spans="1:2" ht="56.55" customHeight="1" x14ac:dyDescent="0.3">
      <c r="A48" s="7" t="s">
        <v>53</v>
      </c>
    </row>
    <row r="49" spans="1:1" ht="208.05" customHeight="1" x14ac:dyDescent="0.3">
      <c r="A49" s="7" t="s">
        <v>54</v>
      </c>
    </row>
    <row r="50" spans="1:1" ht="29.25" customHeight="1" x14ac:dyDescent="0.3">
      <c r="A50" s="16" t="s">
        <v>55</v>
      </c>
    </row>
    <row r="51" spans="1:1" ht="35.549999999999997" customHeight="1" x14ac:dyDescent="0.3">
      <c r="A51" s="8" t="s">
        <v>56</v>
      </c>
    </row>
    <row r="52" spans="1:1" ht="36.75" customHeight="1" x14ac:dyDescent="0.3">
      <c r="A52" s="7" t="s">
        <v>57</v>
      </c>
    </row>
    <row r="53" spans="1:1" ht="195.75"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2" zoomScale="80" zoomScaleNormal="100" workbookViewId="0">
      <selection activeCell="C16" sqref="C16"/>
    </sheetView>
  </sheetViews>
  <sheetFormatPr defaultColWidth="8.77734375" defaultRowHeight="14.4" x14ac:dyDescent="0.3"/>
  <cols>
    <col min="1" max="1" width="120.77734375" style="17" customWidth="1"/>
    <col min="2" max="2" width="33.5546875" style="17" customWidth="1"/>
    <col min="3" max="3" width="26.109375" style="17" customWidth="1"/>
    <col min="4" max="6" width="30.5546875" style="17" customWidth="1"/>
    <col min="7" max="360" width="8.5546875" style="17" customWidth="1"/>
    <col min="361" max="16384" width="8.77734375" style="17"/>
  </cols>
  <sheetData>
    <row r="1" spans="1:5" ht="50.25" customHeight="1" x14ac:dyDescent="0.3">
      <c r="A1" s="5" t="s">
        <v>12</v>
      </c>
    </row>
    <row r="2" spans="1:5" ht="409.5" customHeight="1" x14ac:dyDescent="0.3">
      <c r="A2" s="124" t="s">
        <v>63</v>
      </c>
    </row>
    <row r="3" spans="1:5" ht="51.75" customHeight="1" x14ac:dyDescent="0.3">
      <c r="A3" s="8" t="s">
        <v>64</v>
      </c>
      <c r="B3" s="15"/>
      <c r="C3" s="6"/>
    </row>
    <row r="4" spans="1:5" ht="46.8" x14ac:dyDescent="0.3">
      <c r="A4" s="1" t="s">
        <v>65</v>
      </c>
      <c r="B4" s="2" t="s">
        <v>66</v>
      </c>
      <c r="C4" s="2" t="s">
        <v>67</v>
      </c>
    </row>
    <row r="5" spans="1:5" ht="24.75" customHeight="1" x14ac:dyDescent="0.3">
      <c r="A5" s="18" t="s">
        <v>68</v>
      </c>
      <c r="B5" s="29"/>
      <c r="C5" s="19"/>
    </row>
    <row r="6" spans="1:5" ht="24.75" customHeight="1" x14ac:dyDescent="0.3">
      <c r="A6" s="18" t="s">
        <v>69</v>
      </c>
      <c r="B6" s="30">
        <v>2.4</v>
      </c>
      <c r="C6" s="19"/>
    </row>
    <row r="7" spans="1:5" ht="24.75" customHeight="1" x14ac:dyDescent="0.3">
      <c r="A7" s="18" t="s">
        <v>70</v>
      </c>
      <c r="B7" s="31">
        <v>120</v>
      </c>
      <c r="C7" s="19"/>
    </row>
    <row r="8" spans="1:5" ht="24.75" customHeight="1" x14ac:dyDescent="0.3">
      <c r="A8" s="18" t="s">
        <v>71</v>
      </c>
      <c r="B8" s="31">
        <v>77</v>
      </c>
      <c r="C8" s="19"/>
    </row>
    <row r="9" spans="1:5" ht="39.75" customHeight="1" x14ac:dyDescent="0.3">
      <c r="A9" s="18" t="s">
        <v>72</v>
      </c>
      <c r="B9" s="31" t="s">
        <v>157</v>
      </c>
      <c r="C9" s="19"/>
    </row>
    <row r="10" spans="1:5" ht="24.75" customHeight="1" x14ac:dyDescent="0.3">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0.5</v>
      </c>
      <c r="C10" s="131"/>
    </row>
    <row r="11" spans="1:5" ht="24.75"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3">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
      <c r="A16" s="25" t="s">
        <v>78</v>
      </c>
      <c r="B16" s="115">
        <f>IF(ISBLANK(B8),0,B6*B8)</f>
        <v>184.79999999999998</v>
      </c>
    </row>
    <row r="17" spans="1:2" ht="23.25" customHeight="1" x14ac:dyDescent="0.3">
      <c r="A17" s="26" t="s">
        <v>79</v>
      </c>
      <c r="B17" s="42">
        <f>IFERROR(B16*B7,0)</f>
        <v>22175.999999999996</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1.82</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3.64</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scale="42"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9" zoomScale="55" zoomScaleNormal="55" workbookViewId="0">
      <selection activeCell="F24" sqref="F24"/>
    </sheetView>
  </sheetViews>
  <sheetFormatPr defaultColWidth="9.109375" defaultRowHeight="13.8" x14ac:dyDescent="0.3"/>
  <cols>
    <col min="1" max="1" width="90.109375" style="37" customWidth="1"/>
    <col min="2" max="2" width="27.21875" style="37" customWidth="1"/>
    <col min="3" max="3" width="24.21875" style="37" customWidth="1"/>
    <col min="4" max="4" width="124.77734375" style="37" customWidth="1"/>
    <col min="5" max="386" width="8.5546875" style="37" customWidth="1"/>
    <col min="387" max="16384" width="9.1093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9" customHeight="1" x14ac:dyDescent="0.3">
      <c r="A4" s="4" t="s">
        <v>65</v>
      </c>
      <c r="B4" s="85" t="s">
        <v>66</v>
      </c>
      <c r="C4" s="38"/>
      <c r="E4" s="6"/>
      <c r="F4" s="6"/>
    </row>
    <row r="5" spans="1:6" ht="30" customHeight="1" x14ac:dyDescent="0.3">
      <c r="A5" s="18" t="s">
        <v>83</v>
      </c>
      <c r="B5" s="44" t="s">
        <v>179</v>
      </c>
      <c r="C5" s="6"/>
      <c r="D5" s="6"/>
      <c r="E5" s="6"/>
      <c r="F5" s="39"/>
    </row>
    <row r="6" spans="1:6" ht="30" customHeight="1" x14ac:dyDescent="0.3">
      <c r="A6" s="18" t="s">
        <v>84</v>
      </c>
      <c r="B6" s="45" t="s">
        <v>398</v>
      </c>
      <c r="C6" s="6"/>
      <c r="D6" s="6"/>
      <c r="E6" s="6"/>
      <c r="F6" s="6"/>
    </row>
    <row r="7" spans="1:6" ht="30" customHeight="1" x14ac:dyDescent="0.3">
      <c r="A7" s="18" t="s">
        <v>85</v>
      </c>
      <c r="B7" s="46" t="s">
        <v>377</v>
      </c>
      <c r="C7" s="6"/>
      <c r="D7" s="6"/>
      <c r="E7" s="6"/>
      <c r="F7" s="6"/>
    </row>
    <row r="8" spans="1:6" ht="30"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3.05" customHeight="1" x14ac:dyDescent="0.3">
      <c r="A11" s="48" t="s">
        <v>180</v>
      </c>
      <c r="B11" s="30">
        <v>2.19</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0.26539712482205008</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3">
      <c r="A12" s="48" t="s">
        <v>264</v>
      </c>
      <c r="B12" s="30">
        <f>5.54-B11</f>
        <v>3.35</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0.34254189908719079</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5.54</v>
      </c>
      <c r="C28" s="42">
        <f>SUM(C11:C27)</f>
        <v>0.60793902390924082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5"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4" zoomScale="85" zoomScaleNormal="85" workbookViewId="0">
      <selection activeCell="B9" sqref="B9"/>
    </sheetView>
  </sheetViews>
  <sheetFormatPr defaultColWidth="9.109375" defaultRowHeight="13.8" x14ac:dyDescent="0.25"/>
  <cols>
    <col min="1" max="1" width="67.77734375" style="52" customWidth="1"/>
    <col min="2" max="2" width="22.77734375" style="52" customWidth="1"/>
    <col min="3" max="3" width="24.5546875" style="52" customWidth="1"/>
    <col min="4" max="473" width="8.5546875" style="52" customWidth="1"/>
    <col min="474" max="16384" width="9.1093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2.33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4.0808687766769989</v>
      </c>
    </row>
    <row r="6" spans="1:3" ht="23.25" customHeight="1" x14ac:dyDescent="0.25">
      <c r="A6" s="62" t="s">
        <v>351</v>
      </c>
      <c r="B6" s="63">
        <v>0.19</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0.17856203796199996</v>
      </c>
    </row>
    <row r="7" spans="1:3" ht="23.25" customHeight="1" x14ac:dyDescent="0.25">
      <c r="A7" s="62" t="s">
        <v>344</v>
      </c>
      <c r="B7" s="63">
        <v>3.02</v>
      </c>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6.0400000000000002E-2</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5.54</v>
      </c>
      <c r="C22" s="56">
        <f>SUM(C5:C21)</f>
        <v>4.3198308146389985</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66"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opLeftCell="A2" zoomScale="47" zoomScaleNormal="100" workbookViewId="0">
      <selection activeCell="B9" sqref="B9"/>
    </sheetView>
  </sheetViews>
  <sheetFormatPr defaultColWidth="9.109375" defaultRowHeight="13.8" x14ac:dyDescent="0.3"/>
  <cols>
    <col min="1" max="1" width="132.109375" style="65" customWidth="1"/>
    <col min="2" max="3" width="19.77734375" style="65" customWidth="1"/>
    <col min="4" max="4" width="22.109375" style="65" customWidth="1"/>
    <col min="5" max="5" width="60.77734375" style="65" customWidth="1"/>
    <col min="6" max="6" width="23" style="65" customWidth="1"/>
    <col min="7" max="7" width="23.77734375" style="65" customWidth="1"/>
    <col min="8" max="8" width="117.109375" style="65" customWidth="1"/>
    <col min="9" max="471" width="8.5546875" style="65" customWidth="1"/>
    <col min="472" max="16384" width="9.109375" style="65"/>
  </cols>
  <sheetData>
    <row r="1" spans="1:11" ht="67.5" customHeight="1" x14ac:dyDescent="0.3">
      <c r="A1" s="5" t="s">
        <v>97</v>
      </c>
      <c r="B1" s="51"/>
      <c r="C1" s="51"/>
      <c r="D1" s="51"/>
    </row>
    <row r="2" spans="1:11" ht="409.6"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t="s">
        <v>349</v>
      </c>
      <c r="B5" s="30">
        <f>Table_7_Future_Land_Uses[[#This Row],[Area (ha) - user inputs required]]</f>
        <v>2.33</v>
      </c>
      <c r="C5" s="70">
        <v>100</v>
      </c>
      <c r="D5" s="50">
        <f>IFERROR(IF(ISBLANK(A5),0,IF(ISBLANK(B5),0,VLOOKUP(A5,Nutrients_from_future_land_use!$A$5:$C$21,3,FALSE)*(B5/VLOOKUP(A5,Nutrients_from_future_land_use!$A$5:$C$21,2,FALSE)))),0)</f>
        <v>4.0808687766769989</v>
      </c>
      <c r="E5" s="70" t="s">
        <v>417</v>
      </c>
      <c r="F5" s="70">
        <v>51</v>
      </c>
      <c r="G5" s="50">
        <f>IFERROR(IF(OR(ISBLANK($A5),ISBLANK($B5),ISBLANK($F5)),0,$C5/100*D5*F5/100),0)</f>
        <v>2.0812430761052694</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2.33</v>
      </c>
      <c r="C30" s="71"/>
      <c r="D30" s="68">
        <f t="shared" ref="D30" si="1">SUM(D5:D29)</f>
        <v>4.0808687766769989</v>
      </c>
      <c r="E30" s="72"/>
      <c r="F30" s="72"/>
      <c r="G30" s="56">
        <f>SUM(G5:G29)</f>
        <v>2.0812430761052694</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scale="23"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85" zoomScaleNormal="85" workbookViewId="0">
      <selection activeCell="C12" sqref="C12"/>
    </sheetView>
  </sheetViews>
  <sheetFormatPr defaultColWidth="9.109375" defaultRowHeight="13.8" x14ac:dyDescent="0.3"/>
  <cols>
    <col min="1" max="1" width="78.77734375" style="65" customWidth="1"/>
    <col min="2" max="2" width="30.77734375" style="65" customWidth="1"/>
    <col min="3" max="4" width="40.5546875" style="65" customWidth="1"/>
    <col min="5" max="466" width="8.5546875" style="65" customWidth="1"/>
    <col min="467" max="16384" width="9.1093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1.82</v>
      </c>
    </row>
    <row r="6" spans="1:4" ht="24.75" customHeight="1" x14ac:dyDescent="0.3">
      <c r="A6" s="18" t="s">
        <v>111</v>
      </c>
      <c r="B6" s="78">
        <f>IFERROR(Nutrients_from_future_land_use!C22-SuDS!G30-Nutrients_from_current_land_use!C28,0)</f>
        <v>1.6306487146244883</v>
      </c>
    </row>
    <row r="7" spans="1:4" ht="24.75" customHeight="1" x14ac:dyDescent="0.3">
      <c r="A7" s="18" t="s">
        <v>112</v>
      </c>
      <c r="B7" s="78">
        <f>IFERROR(B5+B6,0)</f>
        <v>3.4506487146244886</v>
      </c>
    </row>
    <row r="8" spans="1:4" ht="24.75" customHeight="1" x14ac:dyDescent="0.3">
      <c r="A8" s="18" t="s">
        <v>113</v>
      </c>
      <c r="B8" s="78">
        <f>IFERROR(IF(B7&lt;0,B7,B7*1.2),0)</f>
        <v>4.140778457549386</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4.1399999999999997</v>
      </c>
    </row>
    <row r="11" spans="1:4" ht="24.75" customHeight="1" x14ac:dyDescent="0.3">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6.32</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scale="45"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2"/>
  <sheetViews>
    <sheetView topLeftCell="A26" zoomScaleNormal="100" workbookViewId="0">
      <selection activeCell="C37" sqref="C37"/>
    </sheetView>
  </sheetViews>
  <sheetFormatPr defaultColWidth="65.44140625" defaultRowHeight="13.8" x14ac:dyDescent="0.25"/>
  <cols>
    <col min="1" max="1" width="47.21875" style="88" customWidth="1"/>
    <col min="2" max="4" width="15.77734375" style="88" customWidth="1"/>
    <col min="5" max="5" width="25.77734375" style="88" customWidth="1"/>
    <col min="6" max="6" width="79.77734375" style="88" customWidth="1"/>
    <col min="7" max="8" width="15.77734375" style="88" customWidth="1"/>
    <col min="9" max="9" width="25.77734375" style="88" customWidth="1"/>
    <col min="10" max="13" width="15.7773437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0.25</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0.4</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0.5</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1</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3</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0.25</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4</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1.7514458268999995</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1.2815457269999997</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0.93980019979999974</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ht="27.6"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A282">_xlfn._xlws.SORT(_xlfn.UNIQUE(_xlfn._xlws.FILTER(Nutrients_from_future_land_use!$A$5:$A$21,Nutrients_from_future_land_use!$A$5:$A$21&lt;&gt;"")))</f>
        <v>Greenspace</v>
      </c>
    </row>
    <row r="281" spans="1:1" x14ac:dyDescent="0.25">
      <c r="A281" s="88" t="str">
        <v>Open urban land</v>
      </c>
    </row>
    <row r="282" spans="1:1" x14ac:dyDescent="0.25">
      <c r="A282" s="88" t="str">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5.xml><?xml version="1.0" encoding="utf-8"?>
<ds:datastoreItem xmlns:ds="http://schemas.openxmlformats.org/officeDocument/2006/customXml" ds:itemID="{4E6A12FC-BB1B-4E54-B358-BBABDD5105C6}">
  <ds:schemaRefs>
    <ds:schemaRef ds:uri="http://schemas.microsoft.com/office/2006/documentManagement/types"/>
    <ds:schemaRef ds:uri="http://schemas.openxmlformats.org/package/2006/metadata/core-properties"/>
    <ds:schemaRef ds:uri="http://purl.org/dc/elements/1.1/"/>
    <ds:schemaRef ds:uri="662745e8-e224-48e8-a2e3-254862b8c2f5"/>
    <ds:schemaRef ds:uri="http://schemas.microsoft.com/office/2006/metadata/properties"/>
    <ds:schemaRef ds:uri="http://purl.org/dc/dcmitype/"/>
    <ds:schemaRef ds:uri="http://www.w3.org/XML/1998/namespace"/>
    <ds:schemaRef ds:uri="http://schemas.microsoft.com/office/infopath/2007/PartnerControls"/>
    <ds:schemaRef ds:uri="4154bb13-d25f-46c8-b825-e27ab0800e0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Baddeley, Victoria</dc:creator>
  <cp:keywords/>
  <dc:description/>
  <cp:lastModifiedBy>Tracy Ford</cp:lastModifiedBy>
  <cp:revision/>
  <cp:lastPrinted>2025-11-06T17:13:09Z</cp:lastPrinted>
  <dcterms:created xsi:type="dcterms:W3CDTF">2021-10-14T13:24:34Z</dcterms:created>
  <dcterms:modified xsi:type="dcterms:W3CDTF">2026-04-28T09:34:14Z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