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-5 New Street 2026\2026 Application for splitting off No 3\TO SEND\"/>
    </mc:Choice>
  </mc:AlternateContent>
  <xr:revisionPtr revIDLastSave="0" documentId="8_{81638F00-41F4-4B4D-AFF6-E8D8CFCD8960}" xr6:coauthVersionLast="45" xr6:coauthVersionMax="45" xr10:uidLastSave="{00000000-0000-0000-0000-000000000000}"/>
  <bookViews>
    <workbookView xWindow="1815" yWindow="1815" windowWidth="16155" windowHeight="14070" xr2:uid="{E8F6E0FA-26F6-4100-8485-5492A9C54E25}"/>
  </bookViews>
  <sheets>
    <sheet name="Sheet1" sheetId="1" r:id="rId1"/>
  </sheets>
  <externalReferences>
    <externalReference r:id="rId2"/>
  </externalReferences>
  <definedNames>
    <definedName name="_xlnm.Print_Area" localSheetId="0">Sheet1!$A$2:$B$18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0" i="1" l="1"/>
  <c r="B11" i="1" s="1"/>
  <c r="B12" i="1" s="1"/>
  <c r="B14" i="1" s="1"/>
  <c r="B38" i="1"/>
  <c r="B39" i="1" s="1"/>
  <c r="B32" i="1"/>
  <c r="A17" i="1"/>
  <c r="A18" i="1" s="1"/>
  <c r="A13" i="1"/>
  <c r="B44" i="1"/>
  <c r="A37" i="1" l="1"/>
  <c r="B34" i="1"/>
  <c r="B42" i="1"/>
  <c r="A33" i="1"/>
  <c r="A43" i="1"/>
  <c r="B33" i="1"/>
  <c r="A41" i="1"/>
  <c r="A44" i="1"/>
  <c r="A34" i="1"/>
  <c r="A42" i="1"/>
  <c r="B40" i="1" l="1"/>
  <c r="A15" i="1" l="1"/>
  <c r="A16" i="1" s="1"/>
  <c r="B18" i="1"/>
</calcChain>
</file>

<file path=xl/sharedStrings.xml><?xml version="1.0" encoding="utf-8"?>
<sst xmlns="http://schemas.openxmlformats.org/spreadsheetml/2006/main" count="30" uniqueCount="26">
  <si>
    <t>Total nutrient budget calculations</t>
  </si>
  <si>
    <t>Description of values generated</t>
  </si>
  <si>
    <t>Values generated</t>
  </si>
  <si>
    <t>Wastewater TP load (kg TP/year):</t>
  </si>
  <si>
    <t>Net land use TP change (kg TP/year):</t>
  </si>
  <si>
    <t>TP budget:</t>
  </si>
  <si>
    <t>TP budget + 20% buffer:</t>
  </si>
  <si>
    <t>The total annual phosphorus load to mitigate is (kg TP/yr):</t>
  </si>
  <si>
    <t xml:space="preserve">3-5 New Street, Salisbury SP1 2PH </t>
  </si>
  <si>
    <t>Nutrient Calculation Final Budget</t>
  </si>
  <si>
    <t>Planning Application for Material Change of Use</t>
  </si>
  <si>
    <t>Water infrastructure information</t>
  </si>
  <si>
    <t>Description of required information</t>
  </si>
  <si>
    <t>Data entry column - user inputs required</t>
  </si>
  <si>
    <t>Date of first occupancy (dd/mm/yyyy):</t>
  </si>
  <si>
    <t>Average occupancy rate (people/dwelling or people/unit):</t>
  </si>
  <si>
    <t>Water usage (litres/person/day):</t>
  </si>
  <si>
    <t>Development proposal (dwellings/units):</t>
  </si>
  <si>
    <t>Wastewater treatment works:</t>
  </si>
  <si>
    <t>Salisbury (Petersfinger)</t>
  </si>
  <si>
    <t>Current wastewater treatment works P permit (mg TP/litre):</t>
  </si>
  <si>
    <t>Final calculation of nutrient load from wastewater</t>
  </si>
  <si>
    <t>Additional population (people):</t>
  </si>
  <si>
    <t>Wastewater by development (litres/day):</t>
  </si>
  <si>
    <t>Annual wastewater TP load (kg TP/yr):</t>
  </si>
  <si>
    <t>Nutrient Calculation Water Infrastructure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</si>
</sst>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4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9ED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38">
    <xf numFmtId="0" fontId="0" fillId="0" borderId="0" xfId="0"/>
    <xf numFmtId="0" fontId="2" fillId="2" borderId="2" xfId="1" applyFont="1" applyFill="1" applyBorder="1" applyAlignment="1" applyProtection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2" fontId="4" fillId="3" borderId="6" xfId="0" applyNumberFormat="1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2" fontId="3" fillId="3" borderId="6" xfId="0" applyNumberFormat="1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2" fontId="3" fillId="3" borderId="7" xfId="0" applyNumberFormat="1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/>
    <xf numFmtId="0" fontId="4" fillId="2" borderId="2" xfId="1" applyFont="1" applyFill="1" applyBorder="1" applyAlignment="1" applyProtection="1">
      <alignment horizontal="left" vertical="center" wrapText="1"/>
    </xf>
    <xf numFmtId="0" fontId="8" fillId="0" borderId="0" xfId="0" applyFont="1"/>
    <xf numFmtId="0" fontId="4" fillId="3" borderId="0" xfId="0" applyFont="1" applyFill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14" fontId="6" fillId="4" borderId="2" xfId="0" applyNumberFormat="1" applyFont="1" applyFill="1" applyBorder="1" applyAlignment="1" applyProtection="1">
      <alignment horizontal="left" vertical="center" wrapText="1"/>
      <protection locked="0"/>
    </xf>
    <xf numFmtId="2" fontId="6" fillId="4" borderId="2" xfId="0" applyNumberFormat="1" applyFont="1" applyFill="1" applyBorder="1" applyAlignment="1" applyProtection="1">
      <alignment horizontal="left" vertical="center" wrapText="1"/>
      <protection locked="0"/>
    </xf>
    <xf numFmtId="0" fontId="6" fillId="4" borderId="2" xfId="0" applyFont="1" applyFill="1" applyBorder="1" applyAlignment="1" applyProtection="1">
      <alignment horizontal="left" vertical="center" wrapText="1"/>
      <protection locked="0"/>
    </xf>
    <xf numFmtId="2" fontId="4" fillId="3" borderId="2" xfId="0" applyNumberFormat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1" fillId="2" borderId="2" xfId="1" applyFill="1" applyBorder="1" applyAlignment="1" applyProtection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2" fontId="4" fillId="3" borderId="11" xfId="0" applyNumberFormat="1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2" fontId="4" fillId="3" borderId="9" xfId="0" applyNumberFormat="1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/>
    </xf>
    <xf numFmtId="2" fontId="4" fillId="2" borderId="13" xfId="0" applyNumberFormat="1" applyFont="1" applyFill="1" applyBorder="1" applyAlignment="1">
      <alignment horizontal="left" vertical="center" wrapText="1"/>
    </xf>
    <xf numFmtId="2" fontId="4" fillId="3" borderId="14" xfId="0" applyNumberFormat="1" applyFont="1" applyFill="1" applyBorder="1" applyAlignment="1">
      <alignment horizontal="left" vertical="center" wrapText="1"/>
    </xf>
    <xf numFmtId="2" fontId="4" fillId="3" borderId="13" xfId="0" applyNumberFormat="1" applyFont="1" applyFill="1" applyBorder="1" applyAlignment="1">
      <alignment horizontal="left" vertical="center" wrapText="1"/>
    </xf>
  </cellXfs>
  <cellStyles count="2">
    <cellStyle name="Heading 2" xfId="1" builtinId="17"/>
    <cellStyle name="Normal" xfId="0" builtinId="0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2" formatCode="0.00"/>
      <fill>
        <patternFill patternType="solid">
          <fgColor indexed="64"/>
          <bgColor rgb="FFFFFFCC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theme="1"/>
        </right>
        <top style="thin">
          <color auto="1"/>
        </top>
        <bottom/>
      </border>
      <protection locked="1" hidden="0"/>
    </dxf>
    <dxf>
      <fill>
        <patternFill>
          <fgColor indexed="64"/>
          <bgColor rgb="FFFFFFCC"/>
        </patternFill>
      </fill>
      <alignment horizontal="left" vertical="center" textRotation="0" indent="0" justifyLastLine="0" shrinkToFit="0" readingOrder="0"/>
      <protection locked="1" hidden="0"/>
    </dxf>
    <dxf>
      <border outline="0">
        <left style="thin">
          <color auto="1"/>
        </left>
        <top style="thin">
          <color auto="1"/>
        </top>
        <bottom style="thin">
          <color indexed="64"/>
        </bottom>
      </border>
    </dxf>
    <dxf>
      <fill>
        <patternFill>
          <fgColor indexed="64"/>
          <bgColor rgb="FFFFFFCC"/>
        </patternFill>
      </fill>
      <alignment horizontal="left" vertical="center" textRotation="0" indent="0" justifyLastLine="0" shrinkToFit="0" readingOrder="0"/>
      <protection locked="1" hidden="0"/>
    </dxf>
    <dxf>
      <border outline="0">
        <bottom style="thin">
          <color auto="1"/>
        </bottom>
      </border>
    </dxf>
    <dxf>
      <fill>
        <patternFill patternType="solid">
          <fgColor indexed="64"/>
          <bgColor rgb="FFFFFFCC"/>
        </patternFill>
      </fill>
      <alignment horizontal="left" vertical="center" textRotation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fill>
        <patternFill patternType="solid">
          <fgColor indexed="64"/>
          <bgColor rgb="FFFFFFCC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rgb="FFFFFFCC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>
          <fgColor indexed="64"/>
          <bgColor rgb="FFFFFFCC"/>
        </patternFill>
      </fill>
      <alignment horizontal="left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left" vertical="center" textRotation="0" indent="0" justifyLastLine="0" shrinkToFit="0" readingOrder="0"/>
      <protection locked="1" hidden="0"/>
    </dxf>
  </dxfs>
  <tableStyles count="2" defaultTableStyle="TableStyleMedium2" defaultPivotStyle="PivotStyleLight16">
    <tableStyle name="Table Style 1" pivot="0" count="0" xr9:uid="{779ADC44-DD96-4C37-9C28-7184906D3562}"/>
    <tableStyle name="Table Style 2" pivot="0" count="0" xr9:uid="{3E04FD2C-CAA1-4FBC-8B4E-3BB0DD904C1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mpleted%20Nutrient_Calculators%20%20River_Avon_SAC_V_03_01_2%20for%203-5%20New%20Street%20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Nutrients_from_wastewater"/>
      <sheetName val="Nutrients_from_current_land_use"/>
      <sheetName val="Nutrients_from_future_land_use"/>
      <sheetName val="SuDS"/>
      <sheetName val="Final_nutrient_budgets"/>
      <sheetName val="Value_look_up_tables"/>
    </sheetNames>
    <sheetDataSet>
      <sheetData sheetId="0" refreshError="1"/>
      <sheetData sheetId="1">
        <row r="5">
          <cell r="B5">
            <v>46113</v>
          </cell>
        </row>
        <row r="9">
          <cell r="B9" t="str">
            <v>Salisbury (Petersfinger)</v>
          </cell>
        </row>
        <row r="21">
          <cell r="A21" t="str">
            <v>Not applicable</v>
          </cell>
        </row>
        <row r="22">
          <cell r="A22" t="str">
            <v>Not applicable</v>
          </cell>
        </row>
      </sheetData>
      <sheetData sheetId="2"/>
      <sheetData sheetId="3"/>
      <sheetData sheetId="4"/>
      <sheetData sheetId="5" refreshError="1"/>
      <sheetData sheetId="6">
        <row r="5">
          <cell r="A5" t="str">
            <v>All Cannings WRC</v>
          </cell>
          <cell r="B5">
            <v>1</v>
          </cell>
          <cell r="C5">
            <v>1</v>
          </cell>
          <cell r="D5">
            <v>1</v>
          </cell>
        </row>
        <row r="6">
          <cell r="A6" t="str">
            <v>Amesbury STW</v>
          </cell>
          <cell r="B6">
            <v>1</v>
          </cell>
          <cell r="C6">
            <v>1</v>
          </cell>
          <cell r="D6">
            <v>0.25</v>
          </cell>
        </row>
        <row r="7">
          <cell r="A7" t="str">
            <v>Barford St Martin WRC</v>
          </cell>
          <cell r="B7">
            <v>2</v>
          </cell>
          <cell r="C7">
            <v>2</v>
          </cell>
          <cell r="D7">
            <v>2</v>
          </cell>
        </row>
        <row r="8">
          <cell r="A8" t="str">
            <v>Berwick St.James</v>
          </cell>
          <cell r="B8">
            <v>8</v>
          </cell>
          <cell r="C8">
            <v>8</v>
          </cell>
          <cell r="D8">
            <v>8</v>
          </cell>
        </row>
        <row r="9">
          <cell r="A9" t="str">
            <v>Bishopstone</v>
          </cell>
          <cell r="B9">
            <v>8</v>
          </cell>
          <cell r="C9">
            <v>8</v>
          </cell>
          <cell r="D9">
            <v>8</v>
          </cell>
        </row>
        <row r="10">
          <cell r="A10" t="str">
            <v>Chitterne WwTW</v>
          </cell>
          <cell r="B10">
            <v>8</v>
          </cell>
          <cell r="C10">
            <v>8</v>
          </cell>
          <cell r="D10">
            <v>8</v>
          </cell>
        </row>
        <row r="11">
          <cell r="A11" t="str">
            <v>Christchurch STW</v>
          </cell>
          <cell r="B11">
            <v>8</v>
          </cell>
          <cell r="C11">
            <v>8</v>
          </cell>
          <cell r="D11">
            <v>0.25</v>
          </cell>
        </row>
        <row r="12">
          <cell r="A12" t="str">
            <v>Collingbourne Ducis</v>
          </cell>
          <cell r="B12">
            <v>8</v>
          </cell>
          <cell r="C12">
            <v>8</v>
          </cell>
          <cell r="D12">
            <v>8</v>
          </cell>
        </row>
        <row r="13">
          <cell r="A13" t="str">
            <v>Crockerton STW</v>
          </cell>
          <cell r="B13">
            <v>8</v>
          </cell>
          <cell r="C13">
            <v>8</v>
          </cell>
          <cell r="D13">
            <v>8</v>
          </cell>
        </row>
        <row r="14">
          <cell r="A14" t="str">
            <v>Downton STW</v>
          </cell>
          <cell r="B14">
            <v>1</v>
          </cell>
          <cell r="C14">
            <v>1</v>
          </cell>
          <cell r="D14">
            <v>0.25</v>
          </cell>
        </row>
        <row r="15">
          <cell r="A15" t="str">
            <v>East Knoyle WRC</v>
          </cell>
          <cell r="B15">
            <v>1</v>
          </cell>
          <cell r="C15">
            <v>1</v>
          </cell>
          <cell r="D15">
            <v>1</v>
          </cell>
        </row>
        <row r="16">
          <cell r="A16" t="str">
            <v>Etchilhampton</v>
          </cell>
          <cell r="B16">
            <v>8</v>
          </cell>
          <cell r="C16">
            <v>8</v>
          </cell>
          <cell r="D16">
            <v>8</v>
          </cell>
        </row>
        <row r="17">
          <cell r="A17" t="str">
            <v>Everleigh WwTW</v>
          </cell>
          <cell r="B17">
            <v>8</v>
          </cell>
          <cell r="C17">
            <v>8</v>
          </cell>
          <cell r="D17">
            <v>8</v>
          </cell>
        </row>
        <row r="18">
          <cell r="A18" t="str">
            <v>Fordingbridge WRC</v>
          </cell>
          <cell r="B18">
            <v>1</v>
          </cell>
          <cell r="C18">
            <v>1</v>
          </cell>
          <cell r="D18">
            <v>0.25</v>
          </cell>
        </row>
        <row r="19">
          <cell r="A19" t="str">
            <v>Fovant WRC</v>
          </cell>
          <cell r="B19">
            <v>1</v>
          </cell>
          <cell r="C19">
            <v>1</v>
          </cell>
          <cell r="D19">
            <v>1</v>
          </cell>
        </row>
        <row r="20">
          <cell r="A20" t="str">
            <v>Gorley STW</v>
          </cell>
          <cell r="B20">
            <v>8</v>
          </cell>
          <cell r="C20">
            <v>8</v>
          </cell>
          <cell r="D20">
            <v>8</v>
          </cell>
        </row>
        <row r="21">
          <cell r="A21" t="str">
            <v>Great Wishford WRC</v>
          </cell>
          <cell r="B21">
            <v>1</v>
          </cell>
          <cell r="C21">
            <v>1</v>
          </cell>
          <cell r="D21">
            <v>0.25</v>
          </cell>
        </row>
        <row r="22">
          <cell r="A22" t="str">
            <v>Hindon WwTW</v>
          </cell>
          <cell r="B22">
            <v>8</v>
          </cell>
          <cell r="C22">
            <v>8</v>
          </cell>
          <cell r="D22">
            <v>8</v>
          </cell>
        </row>
        <row r="23">
          <cell r="A23" t="str">
            <v>Hurdcott WwTW</v>
          </cell>
          <cell r="B23">
            <v>1</v>
          </cell>
          <cell r="C23">
            <v>1</v>
          </cell>
          <cell r="D23">
            <v>0.25</v>
          </cell>
        </row>
        <row r="24">
          <cell r="A24" t="str">
            <v>Maiden Bradley WwTW</v>
          </cell>
          <cell r="B24">
            <v>8</v>
          </cell>
          <cell r="C24">
            <v>8</v>
          </cell>
          <cell r="D24">
            <v>8</v>
          </cell>
        </row>
        <row r="25">
          <cell r="A25" t="str">
            <v>Marden STW</v>
          </cell>
          <cell r="B25">
            <v>2</v>
          </cell>
          <cell r="C25">
            <v>2</v>
          </cell>
          <cell r="D25">
            <v>2</v>
          </cell>
        </row>
        <row r="26">
          <cell r="A26" t="str">
            <v>Matchams Close WwTW</v>
          </cell>
          <cell r="B26">
            <v>8</v>
          </cell>
          <cell r="C26">
            <v>8</v>
          </cell>
          <cell r="D26">
            <v>8</v>
          </cell>
        </row>
        <row r="27">
          <cell r="A27" t="str">
            <v>Monkton Deverill WRC</v>
          </cell>
          <cell r="B27">
            <v>8</v>
          </cell>
          <cell r="C27">
            <v>8</v>
          </cell>
          <cell r="D27">
            <v>8</v>
          </cell>
        </row>
        <row r="28">
          <cell r="A28" t="str">
            <v>Netheravon STW</v>
          </cell>
          <cell r="B28">
            <v>1</v>
          </cell>
          <cell r="C28">
            <v>1</v>
          </cell>
          <cell r="D28">
            <v>0.25</v>
          </cell>
        </row>
        <row r="29">
          <cell r="A29" t="str">
            <v>Pewsey WwTW</v>
          </cell>
          <cell r="B29">
            <v>1</v>
          </cell>
          <cell r="C29">
            <v>1</v>
          </cell>
          <cell r="D29">
            <v>0.25</v>
          </cell>
        </row>
        <row r="30">
          <cell r="A30" t="str">
            <v>Ratfyn STW</v>
          </cell>
          <cell r="B30">
            <v>1</v>
          </cell>
          <cell r="C30">
            <v>1</v>
          </cell>
          <cell r="D30">
            <v>0.25</v>
          </cell>
        </row>
        <row r="31">
          <cell r="A31" t="str">
            <v>Ringwood STW</v>
          </cell>
          <cell r="B31">
            <v>1</v>
          </cell>
          <cell r="C31">
            <v>1</v>
          </cell>
          <cell r="D31">
            <v>0.25</v>
          </cell>
        </row>
        <row r="32">
          <cell r="A32" t="str">
            <v>Salisbury (Petersfinger)</v>
          </cell>
          <cell r="B32">
            <v>1</v>
          </cell>
          <cell r="C32">
            <v>1</v>
          </cell>
          <cell r="D32">
            <v>0.25</v>
          </cell>
        </row>
        <row r="33">
          <cell r="A33" t="str">
            <v>Semley</v>
          </cell>
          <cell r="B33">
            <v>8</v>
          </cell>
          <cell r="C33">
            <v>8</v>
          </cell>
          <cell r="D33">
            <v>8</v>
          </cell>
        </row>
        <row r="34">
          <cell r="A34" t="str">
            <v>Shipton Bellinger WwTW</v>
          </cell>
          <cell r="B34">
            <v>8</v>
          </cell>
          <cell r="C34">
            <v>8</v>
          </cell>
          <cell r="D34">
            <v>0.25</v>
          </cell>
        </row>
        <row r="35">
          <cell r="A35" t="str">
            <v>Shrewton WRC</v>
          </cell>
          <cell r="B35">
            <v>1</v>
          </cell>
          <cell r="C35">
            <v>1</v>
          </cell>
          <cell r="D35">
            <v>0.25</v>
          </cell>
        </row>
        <row r="36">
          <cell r="A36" t="str">
            <v>Stanton St Bernard WRC</v>
          </cell>
          <cell r="B36">
            <v>8</v>
          </cell>
          <cell r="C36">
            <v>8</v>
          </cell>
          <cell r="D36">
            <v>8</v>
          </cell>
        </row>
        <row r="37">
          <cell r="A37" t="str">
            <v>Tidworth Garrison WwTW</v>
          </cell>
          <cell r="B37">
            <v>8</v>
          </cell>
          <cell r="C37">
            <v>8</v>
          </cell>
          <cell r="D37">
            <v>0.25</v>
          </cell>
        </row>
        <row r="38">
          <cell r="A38" t="str">
            <v>Tilshead WwTW</v>
          </cell>
          <cell r="B38">
            <v>8</v>
          </cell>
          <cell r="C38">
            <v>8</v>
          </cell>
          <cell r="D38">
            <v>8</v>
          </cell>
        </row>
        <row r="39">
          <cell r="A39" t="str">
            <v>Tisbury STW</v>
          </cell>
          <cell r="B39">
            <v>1</v>
          </cell>
          <cell r="C39">
            <v>1</v>
          </cell>
          <cell r="D39">
            <v>0.25</v>
          </cell>
        </row>
        <row r="40">
          <cell r="A40" t="str">
            <v>Upavon STW</v>
          </cell>
          <cell r="B40">
            <v>1</v>
          </cell>
          <cell r="C40">
            <v>1</v>
          </cell>
          <cell r="D40">
            <v>1</v>
          </cell>
        </row>
        <row r="41">
          <cell r="A41" t="str">
            <v>Warminster WwTW</v>
          </cell>
          <cell r="B41">
            <v>1</v>
          </cell>
          <cell r="C41">
            <v>0.5</v>
          </cell>
          <cell r="D41">
            <v>0.25</v>
          </cell>
        </row>
        <row r="42">
          <cell r="A42" t="str">
            <v>Wedhampton</v>
          </cell>
          <cell r="B42">
            <v>8</v>
          </cell>
          <cell r="C42">
            <v>8</v>
          </cell>
          <cell r="D42">
            <v>8</v>
          </cell>
        </row>
        <row r="43">
          <cell r="A43" t="str">
            <v>Whitsbury WwTW</v>
          </cell>
          <cell r="B43">
            <v>8</v>
          </cell>
          <cell r="C43">
            <v>8</v>
          </cell>
          <cell r="D43">
            <v>8</v>
          </cell>
        </row>
        <row r="44">
          <cell r="A44" t="str">
            <v>Woodgreen WwTW</v>
          </cell>
          <cell r="B44">
            <v>8</v>
          </cell>
          <cell r="C44">
            <v>8</v>
          </cell>
          <cell r="D44">
            <v>8</v>
          </cell>
        </row>
        <row r="45">
          <cell r="A45" t="str">
            <v>Package Treatment Plant default</v>
          </cell>
          <cell r="B45">
            <v>9.6999999999999993</v>
          </cell>
          <cell r="C45">
            <v>9.6999999999999993</v>
          </cell>
          <cell r="D45">
            <v>9.6999999999999993</v>
          </cell>
        </row>
        <row r="46">
          <cell r="A46" t="str">
            <v>Septic Tank default</v>
          </cell>
          <cell r="B46">
            <v>11.6</v>
          </cell>
          <cell r="C46">
            <v>11.6</v>
          </cell>
          <cell r="D46">
            <v>11.6</v>
          </cell>
        </row>
        <row r="47">
          <cell r="A47" t="str">
            <v>Package Treatment Plant user defined</v>
          </cell>
        </row>
        <row r="48">
          <cell r="A48" t="str">
            <v>Septic Tank user defined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DCEAB25-0A35-4BF3-B238-C33A8135682C}" name="Table_9_Final_Nutrient_Budgets" displayName="Table_9_Final_Nutrient_Budgets" ref="A8:B18" totalsRowShown="0" headerRowDxfId="12" dataDxfId="10" headerRowBorderDxfId="11" tableBorderDxfId="9" totalsRowBorderDxfId="8">
  <autoFilter ref="A8:B18" xr:uid="{72A1EFBB-3762-4F72-947D-848B50484BA8}"/>
  <tableColumns count="2">
    <tableColumn id="1" xr3:uid="{F03611CC-4508-4A6C-94E3-F9DCD7506E3E}" name="Description of values generated" dataDxfId="7"/>
    <tableColumn id="2" xr3:uid="{221621B5-6E12-42E1-8A16-9C2E9E00FEE1}" name="Values generated" dataDxfId="6"/>
  </tableColumns>
  <tableStyleInfo name="Table Style 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401108D-5F80-49E3-AE13-B9762E250741}" name="Table_4_Wastewater_Load" displayName="Table_4_Wastewater_Load" ref="A36:B44" totalsRowShown="0" headerRowDxfId="5" dataDxfId="3" headerRowBorderDxfId="4" tableBorderDxfId="2">
  <autoFilter ref="A36:B44" xr:uid="{6EA88C8A-324B-480A-A6E5-DFF5C0B0E234}"/>
  <tableColumns count="2">
    <tableColumn id="1" xr3:uid="{4137DC31-7AB5-4C41-975D-A7A05E75E955}" name="Description of values generated" dataDxfId="1"/>
    <tableColumn id="2" xr3:uid="{5D74AB67-D2D3-436B-B352-F4939831F0AD}" name="Values generated" dataDxfId="0"/>
  </tableColumns>
  <tableStyleInfo name="Table Style 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A6889-E544-48EF-AC2A-C7D51F731853}">
  <sheetPr>
    <pageSetUpPr fitToPage="1"/>
  </sheetPr>
  <dimension ref="A2:B44"/>
  <sheetViews>
    <sheetView tabSelected="1" topLeftCell="A19" workbookViewId="0">
      <selection activeCell="A3" sqref="A3"/>
    </sheetView>
  </sheetViews>
  <sheetFormatPr defaultRowHeight="15" x14ac:dyDescent="0.25"/>
  <cols>
    <col min="1" max="1" width="60.7109375" customWidth="1"/>
    <col min="2" max="2" width="30.7109375" customWidth="1"/>
  </cols>
  <sheetData>
    <row r="2" spans="1:2" ht="18.75" x14ac:dyDescent="0.3">
      <c r="A2" s="14" t="s">
        <v>8</v>
      </c>
    </row>
    <row r="3" spans="1:2" ht="18.75" x14ac:dyDescent="0.25">
      <c r="A3" s="13" t="s">
        <v>10</v>
      </c>
    </row>
    <row r="4" spans="1:2" ht="18.75" x14ac:dyDescent="0.25">
      <c r="A4" s="13"/>
    </row>
    <row r="5" spans="1:2" ht="18.75" x14ac:dyDescent="0.3">
      <c r="A5" s="16" t="s">
        <v>9</v>
      </c>
    </row>
    <row r="7" spans="1:2" ht="15.75" x14ac:dyDescent="0.25">
      <c r="A7" s="15" t="s">
        <v>0</v>
      </c>
      <c r="B7" s="2"/>
    </row>
    <row r="8" spans="1:2" ht="15.75" x14ac:dyDescent="0.25">
      <c r="A8" s="3" t="s">
        <v>1</v>
      </c>
      <c r="B8" s="4" t="s">
        <v>2</v>
      </c>
    </row>
    <row r="9" spans="1:2" ht="15.75" x14ac:dyDescent="0.25">
      <c r="A9" s="5" t="s">
        <v>3</v>
      </c>
      <c r="B9" s="6">
        <v>0.02</v>
      </c>
    </row>
    <row r="10" spans="1:2" ht="15.75" x14ac:dyDescent="0.25">
      <c r="A10" s="7" t="s">
        <v>4</v>
      </c>
      <c r="B10" s="8">
        <f>IFERROR([1]Nutrients_from_future_land_use!C26-[1]SuDS!G34-[1]Nutrients_from_current_land_use!C32,0)</f>
        <v>0</v>
      </c>
    </row>
    <row r="11" spans="1:2" ht="15.75" x14ac:dyDescent="0.25">
      <c r="A11" s="7" t="s">
        <v>5</v>
      </c>
      <c r="B11" s="8">
        <f>IFERROR(B9+B10,0)</f>
        <v>0.02</v>
      </c>
    </row>
    <row r="12" spans="1:2" ht="15.75" x14ac:dyDescent="0.25">
      <c r="A12" s="7" t="s">
        <v>6</v>
      </c>
      <c r="B12" s="8">
        <f>IFERROR(IF(B11&lt;0,B11,B11*1.2),0)</f>
        <v>2.4E-2</v>
      </c>
    </row>
    <row r="13" spans="1:2" ht="15.75" x14ac:dyDescent="0.25">
      <c r="A13" s="9" t="str">
        <f>IFERROR(IF(AND([1]Nutrients_from_wastewater!$B$5&lt;DATE(2025,1,1),OR((VLOOKUP([1]Nutrients_from_wastewater!$B$9,[1]Value_look_up_tables!$A$5:$E$46,2,FALSE))&gt;(VLOOKUP([1]Nutrients_from_wastewater!$B$9,[1]Value_look_up_tables!$A$5:$E$46,3,FALSE)),(VLOOKUP([1]Nutrients_from_wastewater!$B$9,[1]Value_look_up_tables!$A$5:$E$46,2,FALSE))&gt;(VLOOKUP([1]Nutrients_from_wastewater!$B$9,[1]Value_look_up_tables!$A$5:$E$46,3,FALSE)))),"Post-2030 annual nutrient budget","Annual nutrient budget"),"Annual nutrient budget")</f>
        <v>Annual nutrient budget</v>
      </c>
      <c r="B13" s="10"/>
    </row>
    <row r="14" spans="1:2" ht="15.75" x14ac:dyDescent="0.25">
      <c r="A14" s="5" t="s">
        <v>7</v>
      </c>
      <c r="B14" s="8">
        <f>IFERROR(IF(ROUND(B12,2)&lt;0,0,ROUND(B12,2)),0)</f>
        <v>0.02</v>
      </c>
    </row>
    <row r="15" spans="1:2" ht="15.75" x14ac:dyDescent="0.25">
      <c r="A15" s="9" t="str">
        <f>IF([1]Nutrients_from_wastewater!A22="Not applicable","Not applicable",IF(LEFT([1]Nutrients_from_wastewater!A22,9)="Pre-2030 ",LEFT([1]Nutrients_from_wastewater!A22,9),LEFT([1]Nutrients_from_wastewater!A22,10))&amp;"nutrient budget")</f>
        <v>Not applicable</v>
      </c>
      <c r="B15" s="10"/>
    </row>
    <row r="16" spans="1:2" ht="15.75" x14ac:dyDescent="0.25">
      <c r="A16" s="5" t="str">
        <f>IF(A15&lt;&gt;"Not applicable","The total annual phosphorus load to mitigate is (kg TP/yr):","Not applicable")</f>
        <v>Not applicable</v>
      </c>
      <c r="B16" s="11">
        <v>0.11</v>
      </c>
    </row>
    <row r="17" spans="1:2" ht="15.75" x14ac:dyDescent="0.25">
      <c r="A17" s="9" t="str">
        <f>IF([1]Nutrients_from_wastewater!A24="Not applicable","Not applicable",LEFT([1]Nutrients_from_wastewater!A24,9)&amp;"nutrient budget")</f>
        <v>nutrient budget</v>
      </c>
      <c r="B17" s="10"/>
    </row>
    <row r="18" spans="1:2" ht="15.75" x14ac:dyDescent="0.25">
      <c r="A18" s="12" t="str">
        <f>IF(A17&lt;&gt;"Not applicable","The total annual phosphorus load to mitigate is (kg TP/yr):","Not applicable")</f>
        <v>The total annual phosphorus load to mitigate is (kg TP/yr):</v>
      </c>
      <c r="B18" s="11" t="str">
        <f>IF(IFERROR(IF([1]Nutrients_from_wastewater!$A$21="Not applicable","Not applicable",ROUND(([1]Nutrients_from_wastewater!B26+$B$6)*1.2,2)),IFERROR(B16,"Not applicable"))&lt;0,0,IFERROR(IF([1]Nutrients_from_wastewater!$A$21="Not applicable","Not applicable",ROUND(([1]Nutrients_from_wastewater!B26+$B$6)*1.2,2)),IFERROR(B16,"Not applicable")))</f>
        <v>Not applicable</v>
      </c>
    </row>
    <row r="20" spans="1:2" ht="18.75" x14ac:dyDescent="0.3">
      <c r="A20" s="14" t="s">
        <v>8</v>
      </c>
    </row>
    <row r="21" spans="1:2" ht="18.75" x14ac:dyDescent="0.25">
      <c r="A21" s="13" t="s">
        <v>10</v>
      </c>
    </row>
    <row r="22" spans="1:2" ht="18.75" x14ac:dyDescent="0.25">
      <c r="A22" s="13"/>
    </row>
    <row r="23" spans="1:2" ht="18.75" x14ac:dyDescent="0.3">
      <c r="A23" s="16" t="s">
        <v>25</v>
      </c>
    </row>
    <row r="24" spans="1:2" ht="18.75" x14ac:dyDescent="0.3">
      <c r="A24" s="16"/>
    </row>
    <row r="25" spans="1:2" ht="18" x14ac:dyDescent="0.25">
      <c r="A25" s="1" t="s">
        <v>11</v>
      </c>
      <c r="B25" s="17"/>
    </row>
    <row r="26" spans="1:2" ht="31.5" x14ac:dyDescent="0.25">
      <c r="A26" s="18" t="s">
        <v>12</v>
      </c>
      <c r="B26" s="4" t="s">
        <v>13</v>
      </c>
    </row>
    <row r="27" spans="1:2" x14ac:dyDescent="0.25">
      <c r="A27" s="7" t="s">
        <v>14</v>
      </c>
      <c r="B27" s="19">
        <v>46113</v>
      </c>
    </row>
    <row r="28" spans="1:2" x14ac:dyDescent="0.25">
      <c r="A28" s="7" t="s">
        <v>15</v>
      </c>
      <c r="B28" s="20">
        <v>2.4</v>
      </c>
    </row>
    <row r="29" spans="1:2" x14ac:dyDescent="0.25">
      <c r="A29" s="7" t="s">
        <v>16</v>
      </c>
      <c r="B29" s="21">
        <v>120</v>
      </c>
    </row>
    <row r="30" spans="1:2" x14ac:dyDescent="0.25">
      <c r="A30" s="7" t="s">
        <v>17</v>
      </c>
      <c r="B30" s="21">
        <v>1</v>
      </c>
    </row>
    <row r="31" spans="1:2" x14ac:dyDescent="0.25">
      <c r="A31" s="7" t="s">
        <v>18</v>
      </c>
      <c r="B31" s="21" t="s">
        <v>19</v>
      </c>
    </row>
    <row r="32" spans="1:2" ht="15.75" x14ac:dyDescent="0.25">
      <c r="A32" s="7" t="s">
        <v>20</v>
      </c>
      <c r="B32" s="22">
        <f>IFERROR(IF(OR(B31="Package Treatment Plant user defined",B31="Septic Tank user defined"),"Enter value in cell C10",IF(AND(B27&lt;DATE(2025,1,1)),VLOOKUP(B31,[1]Value_look_up_tables!$A$5:$J$48,2,FALSE),IF(AND(B27&lt;DATE(2025,1,1)),VLOOKUP(B31,[1]Value_look_up_tables!$A$5:$J$48,2,FALSE),IF(AND(B27&lt;DATE(2030,4,1),B27&gt;=DATE(2025,1,1)),VLOOKUP(B31,[1]Value_look_up_tables!$A$5:$J$48,3,FALSE),IF(AND(B27&lt;DATE(2030,4,1),B27&gt;=DATE(2025,1,1)),IF(AND(B27&lt;DATE(2030,4,1)),VLOOKUP(B31,[1]Value_look_up_tables!$A$5:$J$48,2,FALSE),IF(AND(B27&lt;DATE(2030,4,1)),VLOOKUP(B31,[1]Value_look_up_tables!$A$5:$J$48,3,FALSE),IF(AND(B27&gt;=DATE(2030,4,1)),VLOOKUP(B31,[1]Value_look_up_tables!$A$5:$J$48,4,FALSE),IF(AND(B27&gt;=DATE(2030,4,1)),VLOOKUP(B31,[1]Value_look_up_tables!$A$5:$J$48,4,FALSE),0)))),VLOOKUP(B31,[1]Value_look_up_tables!$A$5:$J$48,4,FALSE)))))),0)</f>
        <v>1</v>
      </c>
    </row>
    <row r="33" spans="1:2" ht="15.75" x14ac:dyDescent="0.25">
      <c r="A33" s="7" t="str">
        <f>IFERROR(IF(AND($B$5&lt;DATE(2025,1,1),(VLOOKUP($B$9,[1]Value_look_up_tables!$A$5:$E$46,2,FALSE))&gt;(VLOOKUP($B$9,[1]Value_look_up_tables!$A$5:$E$46,3,FALSE))), "Post 2025 WwTW P permit (mg TP/litre):","Not applicable"),"Not applicable")</f>
        <v>Not applicable</v>
      </c>
      <c r="B33" s="23" t="str">
        <f>IFERROR(IF(AND($B$5&lt;DATE(2025,1,1),(VLOOKUP($B$9,[1]Value_look_up_tables!$A$5:$J$46,2,FALSE))&gt;(VLOOKUP($B$9,[1]Value_look_up_tables!$A$5:$J$46,3,FALSE))),VLOOKUP(B31,[1]Value_look_up_tables!$A$5:$J$49,3,FALSE),"Not applicable"),"Not applicable")</f>
        <v>Not applicable</v>
      </c>
    </row>
    <row r="34" spans="1:2" ht="15.75" x14ac:dyDescent="0.25">
      <c r="A34" s="24" t="str">
        <f>IFERROR(IF(AND($B$5&lt;DATE(2030,4,1),(VLOOKUP($B$9,[1]Value_look_up_tables!$A$5:$J$46,3,FALSE))&gt;(VLOOKUP($B$9,[1]Value_look_up_tables!$A$5:$J$46,4,FALSE))), "Post 2030 WwTW P permit (mg TP/litre):","Not applicable"),"Not applicable")</f>
        <v>Not applicable</v>
      </c>
      <c r="B34" s="25" t="str">
        <f>IFERROR(IF(AND($B$5&lt;DATE(2030,4,1),(VLOOKUP($B$9,[1]Value_look_up_tables!$A$5:$J$46,3,FALSE))&gt;(VLOOKUP($B$9,[1]Value_look_up_tables!$A$5:$J$46,4,FALSE))), VLOOKUP(B31,[1]Value_look_up_tables!$A$5:$J$49,4,FALSE),"Not applicable"),"Not applicable")</f>
        <v>Not applicable</v>
      </c>
    </row>
    <row r="35" spans="1:2" ht="17.25" x14ac:dyDescent="0.25">
      <c r="A35" s="26" t="s">
        <v>21</v>
      </c>
      <c r="B35" s="27"/>
    </row>
    <row r="36" spans="1:2" ht="15.75" x14ac:dyDescent="0.25">
      <c r="A36" s="3" t="s">
        <v>1</v>
      </c>
      <c r="B36" s="4" t="s">
        <v>2</v>
      </c>
    </row>
    <row r="37" spans="1:2" ht="15.75" x14ac:dyDescent="0.25">
      <c r="A37" s="28" t="str">
        <f>IFERROR(IF(AND($B$5&lt;DATE(2030,4,1),OR((VLOOKUP($B$9,[1]Value_look_up_tables!$A$5:$J$46,3,FALSE))&gt;(VLOOKUP($B$9,[1]Value_look_up_tables!$A$5:$J$46,4,FALSE)))),"Post-2030 wastewater nutrient Loading",IF(AND($B$5&lt;DATE(2025,1,1),OR((VLOOKUP($B$9,[1]Value_look_up_tables!$A$5:$E$46,2,FALSE))&gt;(VLOOKUP($B$9,[1]Value_look_up_tables!$A$5:$E$46,3,FALSE)))),"Post-2025 wastewater nutrient Loading","Wastewater nutrient loading")),IF(B32="Enter value in cell C10","Wastewater nutrient loading","Wastewater nutrient loading"))</f>
        <v>Wastewater nutrient loading</v>
      </c>
      <c r="B37" s="29"/>
    </row>
    <row r="38" spans="1:2" ht="15.75" x14ac:dyDescent="0.25">
      <c r="A38" s="30" t="s">
        <v>22</v>
      </c>
      <c r="B38" s="31">
        <f>IF(ISBLANK(B30),0,B28*B30)</f>
        <v>2.4</v>
      </c>
    </row>
    <row r="39" spans="1:2" ht="15.75" x14ac:dyDescent="0.25">
      <c r="A39" s="32" t="s">
        <v>23</v>
      </c>
      <c r="B39" s="33">
        <f>IFERROR(B38*B29,0)</f>
        <v>288</v>
      </c>
    </row>
    <row r="40" spans="1:2" ht="15.75" x14ac:dyDescent="0.25">
      <c r="A40" s="32" t="s">
        <v>24</v>
      </c>
      <c r="B40" s="33">
        <f>IFERROR(ROUND(IF(ISNUMBER(B34),B34*B39*0.9/1000000*365.25,IF(ISNUMBER(B33),B33*B39*0.9/1000000*365.25,IF(B32="Enter value in cell C10",IF(AND(B32="Enter value in cell C10",ISNUMBER(C32)),B39*(IF(C32&lt;0,0,C32))/1000000*365.25, VLOOKUP((LEFT(B31,(LEN(B31)-13))&amp;" default"),[1]Value_look_up_tables!$A$45:$C$46,3,FALSE)*B39/1000000*365.25),IF(OR(B31="Package Treatment Plant default",B31="Septic Tank default"),B32*B39/1000000*365.25,IF(B32=8,B32*B39/1000000*365.25,B32*B39*0.9/1000000*365.25))))),2),0)</f>
        <v>0.09</v>
      </c>
    </row>
    <row r="41" spans="1:2" ht="15.75" x14ac:dyDescent="0.25">
      <c r="A41" s="34" t="str">
        <f>IFERROR(IF(AND($B$5&lt;DATE(2030,4,1),OR((VLOOKUP($B$9,[1]Value_look_up_tables!$A$5:$J$46,3,FALSE))&gt;(VLOOKUP($B$9,[1]Value_look_up_tables!$A$5:$J$46,4,FALSE)))),"Pre-2030 wastewater nutrient loading",IF(AND($B$5&lt;DATE(2025,1,1),OR((VLOOKUP($B$9,[1]Value_look_up_tables!$A$5:$E$46,2,FALSE))&gt;(VLOOKUP($B$9,[1]Value_look_up_tables!$A$5:$E$46,3,FALSE)))),IF(B40=B42,A37,"Pre-2025 wastewater nutrient loading"),"Not applicable")),"Not applicable")</f>
        <v>Not applicable</v>
      </c>
      <c r="B41" s="35"/>
    </row>
    <row r="42" spans="1:2" ht="15.75" x14ac:dyDescent="0.25">
      <c r="A42" s="30" t="str">
        <f>IFERROR(IF(AND($B$5&lt;DATE(2030,4,1),OR((VLOOKUP($B$9,[1]Value_look_up_tables!$A$5:$J$46,3,FALSE))&gt;(VLOOKUP($B$9,[1]Value_look_up_tables!$A$5:$J$46,4,FALSE)),(VLOOKUP($B$9,[1]Value_look_up_tables!$A$5:$J$46,2,FALSE))&gt;(VLOOKUP($B$9,[1]Value_look_up_tables!$A$5:$J$46,4,FALSE)))),"Annual wastewater TP load (kg TP/yr):","Not applicable"),"Not applicable")</f>
        <v>Not applicable</v>
      </c>
      <c r="B42" s="36" t="str">
        <f>IFERROR(ROUND(IF(AND($B$5&lt;DATE(2030,4,1),OR((VLOOKUP($B$9,[1]Value_look_up_tables!$A$5:$J$46,3,FALSE))&gt;(VLOOKUP($B$9,[1]Value_look_up_tables!$A$5:$J$46,4,FALSE)),(VLOOKUP($B$9,[1]Value_look_up_tables!$A$5:$J$46,2,FALSE))&gt;(VLOOKUP($B$9,[1]Value_look_up_tables!$A$5:$J$46,4,FALSE)))),IF(ISNUMBER(B33),IF(B33=8,(B33*B$17)/1000000*365.25,(B33*B$17*0.9)/1000000*365.25),IF(B32=8,(B32*B$17)/1000000*365.25,(B32*B$17*0.9)/1000000*365.25)),"Not applicable"),2),"Not applicable")</f>
        <v>Not applicable</v>
      </c>
    </row>
    <row r="43" spans="1:2" ht="15.75" x14ac:dyDescent="0.25">
      <c r="A43" s="34" t="str">
        <f>IFERROR(IF(AND($B$5&lt;DATE(2025,1,1),$B$5&lt;DATE(2030,4,1),OR((VLOOKUP($B$9,[1]Value_look_up_tables!$A$5:$J$46,3,FALSE))&gt;(VLOOKUP($B$9,[1]Value_look_up_tables!$A$5:$J$46,4,FALSE)))),IF(AND(B44="Not applicable"),"Not applicable","Pre-2025 wastewater nutrient loading"),IF(AND($B$5&lt;DATE(2025,1,1),OR((VLOOKUP($B$9,[1]Value_look_up_tables!$A$5:$E$46,2,FALSE))&gt;(VLOOKUP($B$9,[1]Value_look_up_tables!$A$5:$E$46,3,FALSE)))),IF(LEFT(A41,9)="Post-2025","Pre-2025 wastewater nutrient loading","wastewater nutrient loading "),"Not applicable")),"Not applicable")</f>
        <v>Not applicable</v>
      </c>
      <c r="B43" s="35"/>
    </row>
    <row r="44" spans="1:2" ht="15.75" x14ac:dyDescent="0.25">
      <c r="A44" s="30" t="str">
        <f>IFERROR(IF(AND($B$5&lt;DATE(2025,1,1),OR((VLOOKUP($B$9,[1]Value_look_up_tables!$A$5:$E$46,2,FALSE))&gt;(VLOOKUP($B$9,[1]Value_look_up_tables!$A$5:$E$46,3,FALSE)),(VLOOKUP($B$9,[1]Value_look_up_tables!$A$5:$E$46,2,FALSE))&gt;(VLOOKUP($B$9,[1]Value_look_up_tables!$A$5:$E$46,3,FALSE)))),"Annual wastewater TP load (kg TP/yr):","Not applicable"),"Not applicable")</f>
        <v>Not applicable</v>
      </c>
      <c r="B44" s="37" t="str">
        <f>IFERROR(ROUND(IF(AND($B$5&lt;DATE(2025,1,1),$B$5&lt;DATE(2030,4,1),OR((VLOOKUP($B$9,[1]Value_look_up_tables!$A$5:$J$46,3,FALSE))&gt;(VLOOKUP($B$9,[1]Value_look_up_tables!$A$5:$J$46,4,FALSE)),(VLOOKUP($B$9,[1]Value_look_up_tables!$A$5:$J$46,2,FALSE))&gt;(VLOOKUP($B$9,[1]Value_look_up_tables!$A$5:$J$46,3,FALSE)))),IF(ISNUMBER(B33),IF(B32=8,(B32*B$17)/1000000*365.25,(B32*B$17*0.9)/1000000*365.25),IF(B33=8,(B33*B$17)/1000000*365.25,(B33*B$17*0.9)/1000000*365.25)),"Not applicable"),2),"Not applicable")</f>
        <v>Not applicable</v>
      </c>
    </row>
  </sheetData>
  <protectedRanges>
    <protectedRange algorithmName="SHA-512" hashValue="9eFLYwbQxhpezS4HULhG7iBaGmH5LoseTU2XnhelcWF+/l82pYUC3srt3byn/vuneXy5XFyZVPQbagh6SLqRzQ==" saltValue="CEix3VmL8kRrd4op8qAhjg==" spinCount="100000" sqref="B27:B31" name="Range1_11"/>
  </protectedRanges>
  <dataValidations count="4">
    <dataValidation type="date" operator="greaterThan" allowBlank="1" showErrorMessage="1" errorTitle="Date Error" error="Please enter a date after 01/01/2022 date in correct dd/mm/yyyy format." prompt="Please enter the date using dd/mm/yyyy format. " sqref="B27" xr:uid="{4C15FC43-FF3C-4B92-9D63-A45153827879}">
      <formula1>44562</formula1>
    </dataValidation>
    <dataValidation type="decimal" operator="greaterThanOrEqual" showErrorMessage="1" prompt="The average occupancy rate (people per dwelling/unit) should not be edited unless there is sufficient evidence." sqref="B28" xr:uid="{9F58DD0D-95B8-4817-91EB-F0504DA8A912}">
      <formula1>0</formula1>
    </dataValidation>
    <dataValidation type="decimal" operator="greaterThanOrEqual" showErrorMessage="1" errorTitle="Water usage:" error="Please enter a whole number in litres/person/day" prompt="Keep as 120 unless other efficiency measures are used. " sqref="B29" xr:uid="{3A6C6CDA-BF1D-4AE4-8999-B683A0CAAA05}">
      <formula1>0</formula1>
    </dataValidation>
    <dataValidation type="whole" operator="greaterThan" allowBlank="1" showErrorMessage="1" errorTitle="Development proposal" error="Please ensure that the total number of dwellings is entered as a whole number" prompt="Please enter the total number of dwellings/units that will be within the development site as of the project completion date." sqref="B30" xr:uid="{D6B8B623-1177-4D84-BCD6-6A40282282D8}">
      <formula1>0</formula1>
    </dataValidation>
  </dataValidations>
  <pageMargins left="0.7" right="0.7" top="0.75" bottom="0.75" header="0.3" footer="0.3"/>
  <pageSetup paperSize="9" scale="95" orientation="portrait" r:id="rId1"/>
  <tableParts count="2">
    <tablePart r:id="rId2"/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="Please select a Wastewater Treatment Works from the drop-down list." xr:uid="{A8B8C38C-0ED8-4939-BA1F-DBA5954E9A83}">
          <x14:formula1>
            <xm:f>'E:\3-5 New Street 2026\2026 Application for splitting off No 3\TO SEND\[Completed Nutrient_Calculators  River_Avon_SAC_V_03_01_2 for 3-5 New Street as.xlsx]Value_look_up_tables'!#REF!</xm:f>
          </x14:formula1>
          <xm:sqref>B31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Raymond Wicks</dc:creator>
  <cp:lastModifiedBy>Raymond Wicks</cp:lastModifiedBy>
  <cp:lastPrinted>2026-01-14T17:09:50Z</cp:lastPrinted>
  <dcterms:created xsi:type="dcterms:W3CDTF">2026-01-14T16:52:50Z</dcterms:created>
  <dcterms:modified xsi:type="dcterms:W3CDTF">2026-02-05T11:53:24Z</dcterms:modified>
</cp:coreProperties>
</file>