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updateLinks="never" defaultThemeVersion="166925"/>
  <mc:AlternateContent xmlns:mc="http://schemas.openxmlformats.org/markup-compatibility/2006">
    <mc:Choice Requires="x15">
      <x15ac:absPath xmlns:x15ac="http://schemas.microsoft.com/office/spreadsheetml/2010/11/ac" url="https://netorgft8120148.sharepoint.com/sites/NutrientNeutral/Shared Documents/1 - Projects/2 - ACTIVE/Bishopstone, Whitlock Rise, SP5 4AG (264)/Working/"/>
    </mc:Choice>
  </mc:AlternateContent>
  <xr:revisionPtr revIDLastSave="119" documentId="8_{D3751B6D-D5DA-4B3D-A805-8FB06D83D52F}" xr6:coauthVersionLast="47" xr6:coauthVersionMax="47" xr10:uidLastSave="{925436A5-D17C-4FFA-AED9-E1103B355F7E}"/>
  <workbookProtection workbookAlgorithmName="SHA-512" workbookHashValue="K0S/85i9/QRchKlWLUgkn27lFb1xXsqMqMkFMoG9vP2lwWRIICcmhKgUqDXp1Gk8jhwKlLEhsOuSRhH3Ew5OyQ==" workbookSaltValue="zooZ9+xcQ5sfGUwY0wSMUg==" workbookSpinCount="100000" lockStructure="1"/>
  <bookViews>
    <workbookView xWindow="28680" yWindow="-120" windowWidth="29040" windowHeight="1572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G6" i="22" s="1"/>
  <c r="D7" i="22"/>
  <c r="D8" i="22"/>
  <c r="D9" i="22"/>
  <c r="D10" i="22"/>
  <c r="D11" i="22"/>
  <c r="D12" i="22"/>
  <c r="D13" i="22"/>
  <c r="D14" i="22"/>
  <c r="D15" i="22"/>
  <c r="D16" i="22"/>
  <c r="D17" i="22"/>
  <c r="D18" i="22"/>
  <c r="D19" i="22"/>
  <c r="D20" i="22"/>
  <c r="D21" i="22"/>
  <c r="D22" i="22"/>
  <c r="D23" i="22"/>
  <c r="D24" i="22"/>
  <c r="D25" i="22"/>
  <c r="D26" i="22"/>
  <c r="D27" i="22"/>
  <c r="D28" i="22"/>
  <c r="D29" i="22"/>
  <c r="D5" i="22"/>
  <c r="G5" i="22" s="1"/>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<sst xmlns="http://schemas.openxmlformats.org/spreadsheetml/2006/main" count="1108" uniqueCount="418">
  <si>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</si>
  <si>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</si>
  <si>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</si>
  <si>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</si>
  <si>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</si>
  <si>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</si>
  <si>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</si>
  <si>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</si>
  <si>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</si>
  <si>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</si>
  <si>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</si>
  <si>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</si>
  <si>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</si>
  <si>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</si>
  <si>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</si>
  <si>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</si>
  <si>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</si>
  <si>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</si>
  <si>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</si>
  <si>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</si>
  <si>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</si>
  <si>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</si>
  <si>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</si>
  <si>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</si>
  <si>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</si>
  <si>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</si>
  <si>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</si>
  <si>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</si>
  <si>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</si>
  <si>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</si>
  <si>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</si>
  <si>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</si>
  <si>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</si>
  <si>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</si>
  <si>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</si>
  <si>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</si>
  <si>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</si>
  <si>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</si>
  <si>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</si>
  <si>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</si>
  <si>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</si>
  <si>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</si>
  <si>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</si>
  <si>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</si>
  <si>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</si>
  <si>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</si>
  <si>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</si>
  <si>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</si>
  <si>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</si>
  <si>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</si>
  <si>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</si>
  <si>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</si>
  <si>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</si>
  <si>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</si>
  <si>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</si>
  <si>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</si>
  <si>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</si>
  <si>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</si>
  <si>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</si>
  <si>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</si>
  <si>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</si>
  <si>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</si>
  <si>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</si>
  <si>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</si>
  <si>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</si>
  <si>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</si>
  <si>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</si>
  <si>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</si>
  <si>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</si>
  <si>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</si>
  <si>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</si>
  <si>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</si>
  <si>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</si>
  <si>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</si>
  <si>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</si>
  <si>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</si>
  <si>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</si>
  <si>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</si>
  <si>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</si>
  <si>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</si>
  <si>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</si>
  <si>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</si>
  <si>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</si>
  <si>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</si>
  <si>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</si>
  <si>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</si>
  <si>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</si>
  <si>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</si>
  <si>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</si>
  <si>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</si>
  <si>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</si>
  <si>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</si>
  <si>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</si>
  <si>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</si>
  <si>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</si>
  <si>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</si>
  <si>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</si>
  <si>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</si>
  <si>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</si>
  <si>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</si>
  <si>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</si>
  <si>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</si>
  <si>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</si>
  <si>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</si>
  <si>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</si>
  <si>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</si>
  <si>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</si>
  <si>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</si>
  <si>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</si>
  <si>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</si>
  <si>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</si>
  <si>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</si>
  <si>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</si>
  <si>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</si>
  <si>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</si>
  <si>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</si>
  <si>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</si>
  <si>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</si>
  <si>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</si>
  <si>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</si>
  <si>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</si>
  <si>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</si>
  <si>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</si>
  <si>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</si>
  <si>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</si>
  <si>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</si>
  <si>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</si>
  <si>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</si>
  <si>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</si>
  <si>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</si>
  <si>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</si>
  <si>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</si>
  <si>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</si>
  <si>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</si>
  <si>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</si>
  <si>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</si>
  <si>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</si>
  <si>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</si>
  <si>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</si>
  <si>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</si>
  <si>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</si>
  <si>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</si>
  <si>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</si>
  <si>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</si>
  <si>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</si>
  <si>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</si>
  <si>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</si>
  <si>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</si>
  <si>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</si>
  <si>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</si>
  <si>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</si>
  <si>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</si>
  <si>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</si>
  <si>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</si>
  <si>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</si>
  <si>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</si>
  <si>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</si>
  <si>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</si>
  <si>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</si>
  <si>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</si>
  <si>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</si>
  <si>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</si>
  <si>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</si>
  <si>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</si>
  <si>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</si>
  <si>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</si>
  <si>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</si>
  <si>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</si>
  <si>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</si>
  <si>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</si>
  <si>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</si>
  <si>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</si>
  <si>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</si>
  <si>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</si>
  <si>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</si>
  <si>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</si>
  <si>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</si>
  <si>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</si>
  <si>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</si>
  <si>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</si>
  <si>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</si>
  <si>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</si>
  <si>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</si>
  <si>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</si>
  <si>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</si>
  <si>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</si>
  <si>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</si>
  <si>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</si>
  <si>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</si>
  <si>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</si>
  <si>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</si>
  <si>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</si>
  <si>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</si>
  <si>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</si>
  <si>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</si>
  <si>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</si>
  <si>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</si>
  <si>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</si>
  <si>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</si>
  <si>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</si>
  <si>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</si>
  <si>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</si>
  <si>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</si>
  <si>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</si>
  <si>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</si>
  <si>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</si>
  <si>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</si>
  <si>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</si>
  <si>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</si>
  <si>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</si>
  <si>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</si>
  <si>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</si>
  <si>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</si>
  <si>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</si>
  <si>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</si>
  <si>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</si>
  <si>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</si>
  <si>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</si>
  <si>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</si>
  <si>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</si>
  <si>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</si>
  <si>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</si>
  <si>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</si>
  <si>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</si>
  <si>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</si>
  <si>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</si>
  <si>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</si>
  <si>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</si>
  <si>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</si>
  <si>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</si>
  <si>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</si>
  <si>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</si>
  <si>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</si>
  <si>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</si>
  <si>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</si>
  <si>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</si>
  <si>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</si>
  <si>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</si>
  <si>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</si>
  <si>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</si>
  <si>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</si>
  <si>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</si>
  <si>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</si>
  <si>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</si>
  <si>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</si>
  <si>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</si>
  <si>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</si>
  <si>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</si>
  <si>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</si>
  <si>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</si>
  <si>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</si>
  <si>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</si>
  <si>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</si>
  <si>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</si>
  <si>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</si>
  <si>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</si>
  <si>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</si>
  <si>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</si>
  <si>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</si>
  <si>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</si>
  <si>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</si>
  <si>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</si>
  <si>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</si>
  <si>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</si>
  <si>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</si>
  <si>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</si>
  <si>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</si>
  <si>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</si>
  <si>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</si>
  <si>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</si>
  <si>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</si>
  <si>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</si>
  <si>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</si>
  <si>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</si>
  <si>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</si>
  <si>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</si>
  <si>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</si>
  <si>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</si>
  <si>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</si>
  <si>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</si>
  <si>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</si>
  <si>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</si>
  <si>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</si>
  <si>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</si>
  <si>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</si>
  <si>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</si>
  <si>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</si>
  <si>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</si>
  <si>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</si>
  <si>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</si>
  <si>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</si>
  <si>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</si>
  <si>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</si>
  <si>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</si>
  <si>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</si>
  <si>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</si>
  <si>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</si>
  <si>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</si>
  <si>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</si>
  <si>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</si>
  <si>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</si>
  <si>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</si>
  <si>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</si>
  <si>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</si>
  <si>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</si>
  <si>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</si>
  <si>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</si>
  <si>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</si>
  <si>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</si>
  <si>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</si>
  <si>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</si>
  <si>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</si>
  <si>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</si>
  <si>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</si>
  <si>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</si>
  <si>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</si>
  <si>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</si>
  <si>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</si>
  <si>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</si>
  <si>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</si>
  <si>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</si>
  <si>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</si>
  <si>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</si>
  <si>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</si>
  <si>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</si>
  <si>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</si>
  <si>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</si>
  <si>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</si>
  <si>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</si>
  <si>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</si>
  <si>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</si>
  <si>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</si>
  <si>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</si>
  <si>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</si>
  <si>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</si>
  <si>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</si>
  <si>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</si>
  <si>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</si>
  <si>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</si>
  <si>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</si>
  <si>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</si>
  <si>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</si>
  <si>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</si>
  <si>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</si>
  <si>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</si>
  <si>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</si>
  <si>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</si>
  <si>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</si>
  <si>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</si>
  <si>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</si>
  <si>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</si>
  <si>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</si>
  <si>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</si>
  <si>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</si>
  <si>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</si>
  <si>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</si>
  <si>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</si>
  <si>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</si>
  <si>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</si>
  <si>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</si>
  <si>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</si>
  <si>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</si>
  <si>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</si>
  <si>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</si>
  <si>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</si>
  <si>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</si>
  <si>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</si>
  <si>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</si>
  <si>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</si>
  <si>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</si>
  <si>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</si>
  <si>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</si>
  <si>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</si>
  <si>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</si>
  <si>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</si>
  <si>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</si>
  <si>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</si>
  <si>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</si>
  <si>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</si>
  <si>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</si>
  <si>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</si>
  <si>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</si>
  <si>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</si>
  <si>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</si>
  <si>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</si>
  <si>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</si>
  <si>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</si>
  <si>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</si>
  <si>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</si>
  <si>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</si>
  <si>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</si>
  <si>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</si>
  <si>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</si>
  <si>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</si>
  <si>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</si>
  <si>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</si>
  <si>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</si>
  <si>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</si>
  <si>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</si>
  <si>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</si>
  <si>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</si>
  <si>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</si>
  <si>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</si>
  <si>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</si>
  <si>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</si>
  <si>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</si>
  <si>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</si>
  <si>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</si>
  <si>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</si>
  <si>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</si>
  <si>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</si>
  <si>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</si>
  <si>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</si>
  <si>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</si>
  <si>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</si>
  <si>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</si>
  <si>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</si>
  <si>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Modified Rationale Method - 26.91% runoff, therefore 73% discharge to 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</si>
</sst>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E22"/>
  <sheetViews>
    <sheetView tabSelected="1" topLeftCell="A3" zoomScaleNormal="100" workbookViewId="0">
      <selection activeCell="A23" sqref="A23"/>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c r="C5" s="19"/>
    </row>
    <row r="6" spans="1:5" ht="24.6" customHeight="1" x14ac:dyDescent="0.25">
      <c r="A6" s="18" t="s">
        <v>69</v>
      </c>
      <c r="B6" s="30">
        <v>2.4</v>
      </c>
      <c r="C6" s="19"/>
    </row>
    <row r="7" spans="1:5" ht="24.6" customHeight="1" x14ac:dyDescent="0.25">
      <c r="A7" s="18" t="s">
        <v>70</v>
      </c>
      <c r="B7" s="31">
        <v>95</v>
      </c>
      <c r="C7" s="19"/>
    </row>
    <row r="8" spans="1:5" ht="24.6" customHeight="1" x14ac:dyDescent="0.25">
      <c r="A8" s="18" t="s">
        <v>71</v>
      </c>
      <c r="B8" s="31">
        <v>9</v>
      </c>
      <c r="C8" s="19"/>
    </row>
    <row r="9" spans="1:5" ht="39.6" customHeight="1" x14ac:dyDescent="0.25">
      <c r="A9" s="18" t="s">
        <v>72</v>
      </c>
      <c r="B9" s="31" t="s">
        <v>163</v>
      </c>
      <c r="C9" s="19"/>
    </row>
    <row r="10" spans="1:5" ht="24.6" customHeight="1" x14ac:dyDescent="0.25">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0.6</v>
      </c>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5">
      <c r="A16" s="25" t="s">
        <v>78</v>
      </c>
      <c r="B16" s="115">
        <f>IF(ISBLANK(B8),0,B6*B8)</f>
        <v>21.599999999999998</v>
      </c>
    </row>
    <row r="17" spans="1:2" ht="23.25" customHeight="1" x14ac:dyDescent="0.25">
      <c r="A17" s="26" t="s">
        <v>79</v>
      </c>
      <c r="B17" s="42">
        <f>IFERROR(B16*B7,0)</f>
        <v>2052</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0.45</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scale="49" orientation="landscape"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abSelected="1" topLeftCell="A2" zoomScaleNormal="100" workbookViewId="0">
      <selection activeCell="A23" sqref="A23"/>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378</v>
      </c>
      <c r="C7" s="6"/>
      <c r="D7" s="6"/>
      <c r="E7" s="6"/>
      <c r="F7" s="6"/>
    </row>
    <row r="8" spans="1:6" ht="29.85" customHeight="1" x14ac:dyDescent="0.25">
      <c r="A8" s="21" t="s">
        <v>86</v>
      </c>
      <c r="B8" s="47" t="s">
        <v>409</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250</v>
      </c>
      <c r="B11" s="30">
        <v>0.74</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8.7155596934237675E-2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t="s">
        <v>350</v>
      </c>
      <c r="B12" s="30">
        <v>0.55000000000000004</v>
      </c>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0.74512499984999958</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1.29</v>
      </c>
      <c r="C28" s="42">
        <f>SUM(C11:C27)</f>
        <v>0.83228059678423727</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scale="32"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abSelected="1" topLeftCell="A2" zoomScaleNormal="100" workbookViewId="0">
      <selection activeCell="A23" sqref="A23"/>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0.6</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1.1109136361399994</v>
      </c>
    </row>
    <row r="6" spans="1:3" ht="23.25" customHeight="1" x14ac:dyDescent="0.2">
      <c r="A6" s="62" t="s">
        <v>344</v>
      </c>
      <c r="B6" s="63">
        <v>0.69</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1.38E-2</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1.29</v>
      </c>
      <c r="C22" s="56">
        <f>SUM(C5:C21)</f>
        <v>1.1247136361399994</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scale="53"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tabSelected="1" topLeftCell="A2" zoomScaleNormal="100" workbookViewId="0">
      <selection activeCell="A23" sqref="A23"/>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0.6</v>
      </c>
      <c r="C5" s="70">
        <v>73</v>
      </c>
      <c r="D5" s="50">
        <f>IFERROR(IF(ISBLANK(A5),0,IF(ISBLANK(B5),0,VLOOKUP(A5,Nutrients_from_future_land_use!$A$5:$C$21,3,FALSE)*(B5/VLOOKUP(A5,Nutrients_from_future_land_use!$A$5:$C$21,2,FALSE)))),0)</f>
        <v>1.1109136361399994</v>
      </c>
      <c r="E5" s="70" t="s">
        <v>417</v>
      </c>
      <c r="F5" s="70">
        <v>100</v>
      </c>
      <c r="G5" s="50">
        <f>IFERROR(IF(OR(ISBLANK($A5),ISBLANK($B5),ISBLANK($F5)),0,$C5/100*D5*F5/100),0)</f>
        <v>0.81096695438219957</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0.6</v>
      </c>
      <c r="C30" s="71"/>
      <c r="D30" s="68">
        <f t="shared" ref="D30" si="1">SUM(D5:D29)</f>
        <v>1.1109136361399994</v>
      </c>
      <c r="E30" s="72"/>
      <c r="F30" s="72"/>
      <c r="G30" s="56">
        <f>SUM(G5:G29)</f>
        <v>0.81096695438219957</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scale="2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2" zoomScaleNormal="100" workbookViewId="0">
      <selection activeCell="A23" sqref="A23"/>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0.45</v>
      </c>
    </row>
    <row r="6" spans="1:4" ht="24.75" customHeight="1" x14ac:dyDescent="0.25">
      <c r="A6" s="18" t="s">
        <v>111</v>
      </c>
      <c r="B6" s="78">
        <f>IFERROR(Nutrients_from_future_land_use!C22-SuDS!G30-Nutrients_from_current_land_use!C28,0)</f>
        <v>-0.51853391502643742</v>
      </c>
    </row>
    <row r="7" spans="1:4" ht="24.75" customHeight="1" x14ac:dyDescent="0.25">
      <c r="A7" s="18" t="s">
        <v>112</v>
      </c>
      <c r="B7" s="78">
        <f>IFERROR(B5+B6,0)</f>
        <v>-6.8533915026437409E-2</v>
      </c>
    </row>
    <row r="8" spans="1:4" ht="24.75" customHeight="1" x14ac:dyDescent="0.25">
      <c r="A8" s="18" t="s">
        <v>113</v>
      </c>
      <c r="B8" s="78">
        <f>IFERROR(IF(B7&lt;0,B7,B7*1.2),0)</f>
        <v>-6.8533915026437409E-2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v>
      </c>
    </row>
    <row r="11" spans="1:4" ht="24.75" customHeight="1" x14ac:dyDescent="0.2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scale="68"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1"/>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0.16363478345314764</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1.851522726899999</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1.3547727269999992</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0.99349999979999948</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A281">_xlfn._xlws.SORT(_xlfn.UNIQUE(_xlfn._xlws.FILTER(Nutrients_from_future_land_use!$A$5:$A$21,Nutrients_from_future_land_use!$A$5:$A$21&lt;&gt;"")))</f>
        <v>Greenspace</v>
      </c>
    </row>
    <row r="281" spans="1:1" x14ac:dyDescent="0.2">
      <c r="A281" s="88" t="str">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635B1099C9A94F90BD8001169BB360" ma:contentTypeVersion="20" ma:contentTypeDescription="Create a new document." ma:contentTypeScope="" ma:versionID="508ee9df11fac5d75fa3b5da573d3ccd">
  <xsd:schema xmlns:xsd="http://www.w3.org/2001/XMLSchema" xmlns:xs="http://www.w3.org/2001/XMLSchema" xmlns:p="http://schemas.microsoft.com/office/2006/metadata/properties" xmlns:ns2="36562ee3-edd2-48d8-b5c0-4d7d3bdce77a" xmlns:ns3="ca413bfd-4cea-45bb-a500-b07eef85444d" targetNamespace="http://schemas.microsoft.com/office/2006/metadata/properties" ma:root="true" ma:fieldsID="9120e7b214abec9d3422ba5ebb30caad" ns2:_="" ns3:_="">
    <xsd:import namespace="36562ee3-edd2-48d8-b5c0-4d7d3bdce77a"/>
    <xsd:import namespace="ca413bfd-4cea-45bb-a500-b07eef85444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TaxCatchAll" minOccurs="0"/>
                <xsd:element ref="ns2:lcf76f155ced4ddcb4097134ff3c332f" minOccurs="0"/>
                <xsd:element ref="ns2:MediaServiceObjectDetectorVersions" minOccurs="0"/>
                <xsd:element ref="ns2:MediaServiceSearchPropertie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562ee3-edd2-48d8-b5c0-4d7d3bdce7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7498980-00cf-446a-8616-8082313eab2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413bfd-4cea-45bb-a500-b07eef85444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5b9b44e-c833-4aff-a043-cced3282a541}" ma:internalName="TaxCatchAll" ma:showField="CatchAllData" ma:web="ca413bfd-4cea-45bb-a500-b07eef85444d">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ca413bfd-4cea-45bb-a500-b07eef85444d" xsi:nil="true"/>
    <lcf76f155ced4ddcb4097134ff3c332f xmlns="36562ee3-edd2-48d8-b5c0-4d7d3bdce77a">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49D336-503E-40B9-9104-3C1FA5DB9699}"/>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d7a6443d-4bd4-4087-b99d-eadc8996028e"/>
    <ds:schemaRef ds:uri="b3a99d4e-4e6e-4029-aaf4-a921f1d5896b"/>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Belton</dc:creator>
  <cp:keywords/>
  <dc:description/>
  <cp:lastModifiedBy>Abigail Carnegie</cp:lastModifiedBy>
  <cp:revision/>
  <cp:lastPrinted>2026-02-03T16:40:53Z</cp:lastPrinted>
  <dcterms:created xsi:type="dcterms:W3CDTF">2021-10-14T13:24:34Z</dcterms:created>
  <dcterms:modified xsi:type="dcterms:W3CDTF">2026-02-03T16:41:04Z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0x010100B3635B1099C9A94F90BD8001169BB360</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