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fcgagric.sharepoint.com/sites/WhiteAvon508/Shared Documents/General/Client Files/Hues (N Hues &amp; Sons)/Planning/2025/Riding Arena/"/>
    </mc:Choice>
  </mc:AlternateContent>
  <xr:revisionPtr revIDLastSave="0" documentId="8_{BEE3D4E9-1DF3-435D-889E-BE227362E693}"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08" yWindow="-108" windowWidth="23256" windowHeight="12456" tabRatio="730" firstSheet="2" activeTab="5"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E99" i="1"/>
  <c r="D99" i="1"/>
  <c r="I98" i="1"/>
  <c r="P50" i="4"/>
  <c r="E6" i="10"/>
  <c r="D6" i="10"/>
  <c r="D7" i="10" s="1"/>
  <c r="B9" i="10"/>
  <c r="D9" i="10" s="1"/>
  <c r="O98" i="1" l="1"/>
  <c r="L98" i="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L67" i="22" l="1"/>
  <c r="AQ67" i="22"/>
  <c r="AR67" i="22" s="1"/>
  <c r="AS67" i="22"/>
  <c r="AT67" i="22" s="1"/>
  <c r="L68" i="22"/>
  <c r="AQ68" i="22"/>
  <c r="AR68" i="22" s="1"/>
  <c r="AS68" i="22"/>
  <c r="AT68" i="22" s="1"/>
  <c r="L69" i="22"/>
  <c r="AS69" i="22"/>
  <c r="AT69" i="22" s="1"/>
  <c r="AQ69" i="22"/>
  <c r="AR69" i="22" s="1"/>
  <c r="L70" i="22"/>
  <c r="AS70" i="22"/>
  <c r="AT70" i="22" s="1"/>
  <c r="AQ70" i="22"/>
  <c r="AR70" i="22" s="1"/>
  <c r="AQ71" i="22"/>
  <c r="AR71" i="22" s="1"/>
  <c r="AS71" i="22"/>
  <c r="AT71" i="22" s="1"/>
  <c r="L71" i="22"/>
  <c r="AS72" i="22"/>
  <c r="AT72" i="22" s="1"/>
  <c r="AQ72" i="22"/>
  <c r="AR72" i="22" s="1"/>
  <c r="L72" i="22"/>
  <c r="AQ73" i="22"/>
  <c r="AR73" i="22" s="1"/>
  <c r="AS73" i="22"/>
  <c r="AT73" i="22" s="1"/>
  <c r="L73" i="22"/>
  <c r="AQ74" i="22"/>
  <c r="AR74" i="22" s="1"/>
  <c r="AS74" i="22"/>
  <c r="AT74" i="22" s="1"/>
  <c r="L74" i="22"/>
  <c r="AS75" i="22"/>
  <c r="AT75" i="22" s="1"/>
  <c r="L75" i="22"/>
  <c r="AQ75" i="22"/>
  <c r="AR75" i="22" s="1"/>
  <c r="L76" i="22"/>
  <c r="AS76" i="22"/>
  <c r="AT76" i="22" s="1"/>
  <c r="AQ76" i="22"/>
  <c r="AR76" i="22" s="1"/>
  <c r="L77" i="22"/>
  <c r="AS77" i="22"/>
  <c r="AT77" i="22" s="1"/>
  <c r="AQ77" i="22"/>
  <c r="AR77" i="22" s="1"/>
  <c r="L78" i="22"/>
  <c r="AS78" i="22"/>
  <c r="AT78" i="22" s="1"/>
  <c r="AQ78" i="22"/>
  <c r="AR78" i="22" s="1"/>
  <c r="AQ79" i="22"/>
  <c r="AR79" i="22" s="1"/>
  <c r="L79" i="22"/>
  <c r="AS79" i="22"/>
  <c r="AT79" i="22" s="1"/>
  <c r="AS80" i="22"/>
  <c r="AT80" i="22" s="1"/>
  <c r="AQ80" i="22"/>
  <c r="AR80" i="22" s="1"/>
  <c r="L80" i="22"/>
  <c r="AS81" i="22"/>
  <c r="AT81" i="22" s="1"/>
  <c r="AQ81" i="22"/>
  <c r="AR81" i="22" s="1"/>
  <c r="L81" i="22"/>
  <c r="AS82" i="22"/>
  <c r="AT82" i="22" s="1"/>
  <c r="AQ82" i="22"/>
  <c r="AR82" i="22" s="1"/>
  <c r="L82" i="22"/>
  <c r="AS83" i="22"/>
  <c r="AT83" i="22" s="1"/>
  <c r="AQ83" i="22"/>
  <c r="AR83" i="22" s="1"/>
  <c r="L83" i="22"/>
  <c r="AS84" i="22"/>
  <c r="AT84" i="22" s="1"/>
  <c r="AQ84" i="22"/>
  <c r="AR84" i="22" s="1"/>
  <c r="L84" i="22"/>
  <c r="AS85" i="22"/>
  <c r="AT85" i="22" s="1"/>
  <c r="AQ85" i="22"/>
  <c r="AR85" i="22" s="1"/>
  <c r="L85" i="22"/>
  <c r="AS67" i="21"/>
  <c r="AT67" i="21" s="1"/>
  <c r="AQ67" i="21"/>
  <c r="AR67" i="21" s="1"/>
  <c r="AS68" i="21"/>
  <c r="AT68" i="21" s="1"/>
  <c r="AQ68" i="21"/>
  <c r="AR68" i="21" s="1"/>
  <c r="AS69" i="21"/>
  <c r="AT69" i="21" s="1"/>
  <c r="AQ69" i="21"/>
  <c r="AR69" i="21" s="1"/>
  <c r="AS70" i="21"/>
  <c r="AT70" i="21" s="1"/>
  <c r="AQ70" i="21"/>
  <c r="AR70" i="21" s="1"/>
  <c r="AS71" i="21"/>
  <c r="AT71" i="21" s="1"/>
  <c r="AQ71" i="21"/>
  <c r="AR71" i="21" s="1"/>
  <c r="AS72" i="21"/>
  <c r="AT72" i="21" s="1"/>
  <c r="AQ72" i="21"/>
  <c r="AR72" i="21" s="1"/>
  <c r="AS73" i="21"/>
  <c r="AT73" i="21" s="1"/>
  <c r="AQ73" i="21"/>
  <c r="AR73" i="21" s="1"/>
  <c r="AS74" i="21"/>
  <c r="AT74" i="21" s="1"/>
  <c r="AQ74" i="21"/>
  <c r="AR74" i="21" s="1"/>
  <c r="AS75" i="21"/>
  <c r="AT75" i="21" s="1"/>
  <c r="AQ75" i="21"/>
  <c r="AR75" i="21" s="1"/>
  <c r="AS76" i="21"/>
  <c r="AT76" i="21" s="1"/>
  <c r="AQ76" i="21"/>
  <c r="AR76" i="21" s="1"/>
  <c r="AS77" i="21"/>
  <c r="AT77" i="21" s="1"/>
  <c r="AQ77" i="21"/>
  <c r="AR77" i="21" s="1"/>
  <c r="AS78" i="21"/>
  <c r="AT78" i="21" s="1"/>
  <c r="AQ78" i="21"/>
  <c r="AR78" i="21" s="1"/>
  <c r="AS79" i="21"/>
  <c r="AT79" i="21" s="1"/>
  <c r="AQ79" i="21"/>
  <c r="AR79" i="21" s="1"/>
  <c r="AQ80" i="21"/>
  <c r="AR80" i="21" s="1"/>
  <c r="AS80" i="21"/>
  <c r="AT80" i="21" s="1"/>
  <c r="AQ81" i="21"/>
  <c r="AR81" i="21" s="1"/>
  <c r="AS81" i="21"/>
  <c r="AT81" i="21" s="1"/>
  <c r="AS82" i="21"/>
  <c r="AT82" i="21" s="1"/>
  <c r="AQ82" i="21"/>
  <c r="AR82" i="21" s="1"/>
  <c r="AQ83" i="21"/>
  <c r="AR83" i="21" s="1"/>
  <c r="AS83" i="21"/>
  <c r="AT83" i="21" s="1"/>
  <c r="AQ84" i="21"/>
  <c r="AR84" i="21" s="1"/>
  <c r="AS84" i="21"/>
  <c r="AT84" i="21" s="1"/>
  <c r="AS85" i="21"/>
  <c r="AT85" i="21" s="1"/>
  <c r="AQ85" i="21"/>
  <c r="AR85" i="21" s="1"/>
  <c r="AS73" i="1"/>
  <c r="AT73" i="1" s="1"/>
  <c r="AQ73" i="1"/>
  <c r="AR73" i="1" s="1"/>
  <c r="AS74" i="1"/>
  <c r="AT74" i="1" s="1"/>
  <c r="AQ74" i="1"/>
  <c r="AR74" i="1" s="1"/>
  <c r="AS75" i="1"/>
  <c r="AT75" i="1" s="1"/>
  <c r="AQ75" i="1"/>
  <c r="AR75" i="1" s="1"/>
  <c r="AS76" i="1"/>
  <c r="AT76" i="1" s="1"/>
  <c r="AQ76" i="1"/>
  <c r="AR76" i="1" s="1"/>
  <c r="AS77" i="1"/>
  <c r="AT77" i="1" s="1"/>
  <c r="AQ77" i="1"/>
  <c r="AR77" i="1" s="1"/>
  <c r="AS78" i="1"/>
  <c r="AT78" i="1" s="1"/>
  <c r="AQ78" i="1"/>
  <c r="AR78" i="1" s="1"/>
  <c r="AS79" i="1"/>
  <c r="AT79" i="1" s="1"/>
  <c r="AQ79" i="1"/>
  <c r="AR79" i="1" s="1"/>
  <c r="AS80" i="1"/>
  <c r="AT80" i="1" s="1"/>
  <c r="AQ80" i="1"/>
  <c r="AR80" i="1" s="1"/>
  <c r="AQ81" i="1"/>
  <c r="AR81" i="1" s="1"/>
  <c r="AS81" i="1"/>
  <c r="AT81" i="1" s="1"/>
  <c r="AQ82" i="1"/>
  <c r="AR82" i="1" s="1"/>
  <c r="AS82" i="1"/>
  <c r="AT82" i="1" s="1"/>
  <c r="AQ83" i="1"/>
  <c r="AR83" i="1" s="1"/>
  <c r="AS83" i="1"/>
  <c r="AT83" i="1" s="1"/>
  <c r="AQ84" i="1"/>
  <c r="AR84" i="1" s="1"/>
  <c r="AS84" i="1"/>
  <c r="AT84" i="1" s="1"/>
  <c r="AQ85" i="1"/>
  <c r="AR85" i="1" s="1"/>
  <c r="AS85" i="1"/>
  <c r="AT85" i="1" s="1"/>
  <c r="AQ86" i="1"/>
  <c r="AR86" i="1" s="1"/>
  <c r="AS86" i="1"/>
  <c r="AT86" i="1" s="1"/>
  <c r="AS87" i="1"/>
  <c r="AT87" i="1" s="1"/>
  <c r="AQ87" i="1"/>
  <c r="AR87" i="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l="1"/>
  <c r="I32" i="2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I32" i="22" l="1"/>
  <c r="I33" i="22"/>
  <c r="AQ66" i="2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O97" i="1" l="1"/>
  <c r="L97" i="1"/>
  <c r="O96" i="1"/>
  <c r="L96" i="1"/>
  <c r="O95" i="1"/>
  <c r="L95" i="1"/>
  <c r="I96" i="1"/>
  <c r="I97" i="1"/>
  <c r="I95" i="1"/>
  <c r="H130" i="1"/>
  <c r="H123" i="1"/>
  <c r="J123" i="1" s="1"/>
  <c r="O99" i="1" l="1"/>
  <c r="I60" i="1" s="1"/>
  <c r="I99" i="1"/>
  <c r="I31" i="1" s="1"/>
  <c r="L31" i="1" s="1"/>
  <c r="L99" i="1"/>
  <c r="J31" i="1" s="1"/>
  <c r="H132" i="1"/>
  <c r="I63" i="1" l="1"/>
  <c r="L60" i="1"/>
  <c r="AE31" i="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<sst xmlns="http://schemas.openxmlformats.org/spreadsheetml/2006/main" count="3166" uniqueCount="1064">
  <si>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</si>
  <si>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</si>
  <si>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</si>
  <si>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</si>
  <si>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</si>
  <si>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</si>
  <si>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</si>
  <si>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</si>
  <si>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</si>
  <si>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</si>
  <si>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</si>
  <si>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</si>
  <si>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</si>
  <si>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</si>
  <si>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</si>
  <si>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</si>
  <si>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</si>
  <si>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</si>
  <si>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</si>
  <si>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</si>
  <si>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</si>
  <si>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</si>
  <si>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</si>
  <si>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</si>
  <si>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</si>
  <si>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</si>
  <si>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</si>
  <si>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</si>
  <si>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</si>
  <si>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</si>
  <si>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</si>
  <si>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</si>
  <si>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</si>
  <si>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</si>
  <si>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</si>
  <si>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</si>
  <si>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</si>
  <si>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</si>
  <si>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</si>
  <si>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</si>
  <si>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</si>
  <si>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</si>
  <si>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</si>
  <si>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</si>
  <si>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</si>
  <si>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</si>
  <si>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</si>
  <si>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</si>
  <si>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</si>
  <si>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</si>
  <si>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</si>
  <si>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</si>
  <si>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</si>
  <si>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</si>
  <si>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</si>
  <si>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</si>
  <si>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</si>
  <si>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</si>
  <si>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</si>
  <si>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</si>
  <si>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</si>
  <si>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</si>
  <si>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</si>
  <si>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</si>
  <si>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</si>
  <si>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</si>
  <si>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</si>
  <si>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</si>
  <si>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</si>
  <si>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</si>
  <si>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</si>
  <si>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</si>
  <si>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</si>
  <si>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</si>
  <si>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</si>
  <si>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</si>
  <si>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</si>
  <si>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</si>
  <si>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</si>
  <si>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</si>
  <si>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</si>
  <si>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</si>
  <si>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</si>
  <si>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</si>
  <si>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</si>
  <si>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</si>
  <si>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</si>
  <si>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</si>
  <si>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</si>
  <si>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</si>
  <si>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</si>
  <si>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</si>
  <si>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</si>
  <si>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</si>
  <si>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</si>
  <si>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</si>
  <si>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</si>
  <si>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</si>
  <si>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</si>
  <si>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</si>
  <si>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</si>
  <si>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</si>
  <si>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</si>
  <si>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</si>
  <si>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</si>
  <si>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</si>
  <si>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</si>
  <si>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</si>
  <si>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</si>
  <si>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</si>
  <si>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</si>
  <si>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</si>
  <si>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</si>
  <si>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</si>
  <si>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</si>
  <si>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</si>
  <si>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</si>
  <si>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</si>
  <si>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</si>
  <si>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</si>
  <si>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</si>
  <si>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</si>
  <si>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</si>
  <si>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</si>
  <si>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</si>
  <si>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</si>
  <si>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</si>
  <si>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</si>
  <si>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</si>
  <si>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</si>
  <si>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</si>
  <si>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</si>
  <si>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</si>
  <si>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</si>
  <si>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</si>
  <si>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</si>
  <si>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</si>
  <si>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</si>
  <si>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</si>
  <si>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</si>
  <si>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</si>
  <si>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</si>
  <si>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</si>
  <si>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</si>
  <si>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</si>
  <si>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</si>
  <si>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</si>
  <si>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</si>
  <si>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</si>
  <si>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</si>
  <si>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</si>
  <si>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</si>
  <si>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</si>
  <si>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</si>
  <si>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</si>
  <si>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</si>
  <si>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</si>
  <si>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</si>
  <si>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</si>
  <si>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</si>
  <si>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</si>
  <si>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</si>
  <si>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</si>
  <si>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</si>
  <si>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</si>
  <si>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</si>
  <si>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</si>
  <si>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</si>
  <si>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</si>
  <si>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</si>
  <si>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</si>
  <si>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</si>
  <si>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</si>
  <si>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</si>
  <si>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</si>
  <si>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</si>
  <si>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</si>
  <si>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</si>
  <si>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</si>
  <si>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</si>
  <si>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</si>
  <si>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</si>
  <si>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</si>
  <si>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</si>
  <si>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</si>
  <si>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</si>
  <si>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</si>
  <si>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</si>
  <si>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</si>
  <si>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</si>
  <si>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</si>
  <si>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</si>
  <si>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</si>
  <si>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</si>
  <si>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</si>
  <si>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</si>
  <si>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</si>
  <si>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</si>
  <si>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</si>
  <si>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</si>
  <si>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</si>
  <si>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</si>
  <si>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</si>
  <si>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</si>
  <si>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</si>
  <si>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</si>
  <si>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</si>
  <si>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</si>
  <si>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</si>
  <si>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</si>
  <si>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</si>
  <si>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</si>
  <si>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</si>
  <si>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</si>
  <si>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</si>
  <si>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</si>
  <si>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</si>
  <si>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</si>
  <si>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</si>
  <si>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</si>
  <si>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</si>
  <si>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</si>
  <si>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</si>
  <si>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</si>
  <si>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</si>
  <si>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</si>
  <si>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</si>
  <si>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</si>
  <si>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</si>
  <si>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</si>
  <si>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</si>
  <si>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</si>
  <si>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</si>
  <si>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</si>
  <si>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</si>
  <si>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</si>
  <si>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</si>
  <si>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</si>
  <si>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</si>
  <si>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</si>
  <si>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</si>
  <si>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</si>
  <si>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</si>
  <si>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</si>
  <si>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</si>
  <si>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</si>
  <si>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</si>
  <si>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</si>
  <si>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</si>
  <si>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</si>
  <si>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</si>
  <si>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</si>
  <si>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</si>
  <si>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</si>
  <si>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</si>
  <si>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</si>
  <si>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</si>
  <si>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</si>
  <si>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</si>
  <si>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</si>
  <si>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</si>
  <si>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</si>
  <si>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</si>
  <si>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</si>
  <si>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</si>
  <si>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</si>
  <si>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</si>
  <si>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</si>
  <si>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</si>
  <si>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</si>
  <si>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</si>
  <si>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</si>
  <si>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</si>
  <si>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</si>
  <si>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</si>
  <si>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</si>
  <si>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</si>
  <si>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</si>
  <si>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</si>
  <si>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</si>
  <si>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</si>
  <si>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</si>
  <si>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</si>
  <si>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</si>
  <si>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</si>
  <si>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</si>
  <si>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</si>
  <si>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</si>
  <si>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</si>
  <si>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</si>
  <si>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</si>
  <si>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</si>
  <si>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</si>
  <si>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</si>
  <si>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</si>
  <si>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</si>
  <si>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</si>
  <si>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</si>
  <si>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</si>
  <si>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</si>
  <si>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</si>
  <si>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</si>
  <si>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</si>
  <si>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</si>
  <si>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</si>
  <si>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</si>
  <si>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</si>
  <si>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</si>
  <si>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</si>
  <si>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</si>
  <si>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</si>
  <si>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</si>
  <si>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</si>
  <si>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</si>
  <si>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</si>
  <si>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</si>
  <si>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</si>
  <si>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</si>
  <si>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</si>
  <si>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</si>
  <si>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</si>
  <si>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</si>
  <si>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</si>
  <si>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</si>
  <si>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</si>
  <si>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</si>
  <si>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</si>
  <si>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</si>
  <si>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</si>
  <si>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</si>
  <si>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</si>
  <si>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</si>
  <si>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</si>
  <si>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</si>
  <si>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</si>
  <si>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</si>
  <si>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</si>
  <si>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</si>
  <si>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</si>
  <si>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</si>
  <si>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</si>
  <si>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</si>
  <si>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</si>
  <si>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</si>
  <si>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</si>
  <si>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</si>
  <si>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</si>
  <si>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</si>
  <si>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</si>
  <si>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</si>
  <si>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</si>
  <si>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</si>
  <si>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</si>
  <si>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</si>
  <si>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</si>
  <si>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</si>
  <si>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</si>
  <si>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</si>
  <si>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</si>
  <si>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</si>
  <si>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</si>
  <si>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</si>
  <si>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</si>
  <si>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</si>
  <si>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</si>
  <si>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</si>
  <si>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</si>
  <si>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</si>
  <si>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</si>
  <si>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</si>
  <si>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</si>
  <si>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</si>
  <si>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</si>
  <si>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</si>
  <si>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</si>
  <si>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</si>
  <si>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</si>
  <si>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</si>
  <si>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</si>
  <si>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</si>
  <si>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</si>
  <si>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</si>
  <si>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</si>
  <si>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</si>
  <si>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</si>
  <si>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</si>
  <si>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</si>
  <si>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</si>
  <si>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</si>
  <si>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</si>
  <si>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</si>
  <si>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</si>
  <si>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</si>
  <si>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</si>
  <si>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</si>
  <si>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</si>
  <si>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</si>
  <si>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</si>
  <si>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</si>
  <si>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</si>
  <si>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</si>
  <si>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</si>
  <si>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</si>
  <si>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</si>
  <si>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</si>
  <si>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</si>
  <si>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</si>
  <si>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</si>
  <si>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</si>
  <si>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</si>
  <si>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</si>
  <si>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</si>
  <si>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</si>
  <si>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</si>
  <si>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</si>
  <si>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</si>
  <si>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</si>
  <si>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</si>
  <si>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</si>
  <si>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</si>
  <si>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</si>
  <si>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</si>
  <si>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</si>
  <si>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</si>
  <si>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</si>
  <si>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</si>
  <si>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</si>
  <si>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</si>
  <si>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</si>
  <si>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</si>
  <si>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</si>
  <si>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</si>
  <si>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</si>
  <si>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</si>
  <si>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</si>
  <si>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</si>
  <si>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</si>
  <si>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</si>
  <si>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</si>
  <si>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</si>
  <si>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</si>
  <si>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</si>
  <si>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</si>
  <si>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</si>
  <si>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</si>
  <si>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</si>
  <si>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</si>
  <si>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</si>
  <si>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</si>
  <si>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</si>
  <si>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</si>
  <si>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</si>
  <si>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</si>
  <si>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</si>
  <si>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</si>
  <si>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</si>
  <si>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</si>
  <si>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</si>
  <si>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</si>
  <si>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</si>
  <si>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</si>
  <si>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</si>
  <si>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</si>
  <si>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</si>
  <si>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</si>
  <si>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</si>
  <si>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</si>
  <si>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</si>
  <si>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</si>
  <si>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</si>
  <si>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</si>
  <si>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</si>
  <si>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</si>
  <si>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</si>
  <si>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</si>
  <si>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</si>
  <si>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</si>
  <si>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</si>
  <si>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</si>
  <si>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</si>
  <si>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</si>
  <si>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</si>
  <si>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</si>
  <si>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</si>
  <si>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</si>
  <si>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</si>
  <si>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</si>
  <si>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</si>
  <si>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</si>
  <si>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</si>
  <si>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</si>
  <si>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</si>
  <si>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</si>
  <si>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</si>
  <si>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</si>
  <si>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</si>
  <si>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</si>
  <si>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</si>
  <si>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</si>
  <si>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</si>
  <si>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</si>
  <si>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</si>
  <si>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</si>
  <si>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</si>
  <si>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</si>
  <si>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</si>
  <si>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</si>
  <si>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</si>
  <si>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</si>
  <si>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</si>
  <si>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</si>
  <si>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</si>
  <si>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</si>
  <si>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</si>
  <si>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</si>
  <si>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</si>
  <si>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</si>
  <si>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</si>
  <si>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</si>
  <si>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</si>
  <si>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</si>
  <si>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</si>
  <si>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</si>
  <si>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</si>
  <si>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</si>
  <si>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</si>
  <si>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</si>
  <si>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</si>
  <si>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</si>
  <si>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</si>
  <si>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</si>
  <si>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</si>
  <si>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</si>
  <si>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</si>
  <si>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</si>
  <si>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</si>
  <si>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</si>
  <si>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</si>
  <si>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</si>
  <si>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</si>
  <si>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</si>
  <si>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</si>
  <si>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</si>
  <si>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</si>
  <si>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</si>
  <si>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</si>
  <si>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</si>
  <si>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</si>
  <si>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</si>
  <si>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</si>
  <si>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</si>
  <si>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</si>
  <si>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</si>
  <si>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</si>
  <si>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</si>
  <si>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</si>
  <si>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</si>
  <si>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</si>
  <si>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</si>
  <si>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</si>
  <si>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</si>
  <si>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</si>
  <si>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</si>
  <si>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</si>
  <si>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</si>
  <si>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</si>
  <si>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</si>
  <si>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</si>
  <si>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</si>
  <si>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</si>
  <si>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</si>
  <si>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</si>
  <si>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</si>
  <si>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</si>
  <si>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</si>
  <si>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</si>
  <si>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</si>
  <si>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</si>
  <si>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</si>
  <si>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</si>
  <si>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</si>
  <si>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</si>
  <si>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</si>
  <si>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</si>
  <si>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</si>
  <si>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</si>
  <si>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</si>
  <si>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</si>
  <si>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</si>
  <si>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</si>
  <si>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</si>
  <si>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</si>
  <si>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</si>
  <si>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</si>
  <si>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</si>
  <si>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</si>
  <si>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</si>
  <si>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</si>
  <si>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</si>
  <si>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</si>
  <si>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</si>
  <si>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</si>
  <si>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</si>
  <si>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</si>
  <si>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</si>
  <si>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</si>
  <si>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</si>
  <si>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</si>
  <si>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</si>
  <si>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</si>
  <si>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</si>
  <si>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</si>
  <si>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</si>
  <si>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</si>
  <si>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</si>
  <si>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</si>
  <si>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</si>
  <si>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</si>
  <si>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</si>
  <si>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</si>
  <si>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</si>
  <si>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</si>
  <si>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</si>
  <si>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</si>
  <si>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</si>
  <si>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</si>
  <si>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</si>
  <si>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</si>
  <si>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</si>
  <si>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</si>
  <si>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</si>
  <si>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</si>
  <si>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</si>
  <si>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</si>
  <si>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</si>
  <si>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</si>
  <si>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</si>
  <si>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</si>
  <si>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</si>
  <si>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</si>
  <si>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</si>
  <si>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</si>
  <si>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</si>
  <si>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</si>
  <si>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</si>
  <si>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</si>
  <si>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</si>
  <si>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</si>
  <si>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</si>
  <si>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</si>
  <si>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</si>
  <si>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</si>
  <si>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</si>
  <si>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</si>
  <si>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</si>
  <si>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</si>
  <si>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</si>
  <si>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</si>
  <si>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</si>
  <si>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</si>
  <si>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</si>
  <si>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</si>
  <si>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</si>
  <si>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</si>
  <si>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</si>
  <si>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</si>
  <si>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</si>
  <si>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</si>
  <si>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</si>
  <si>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</si>
  <si>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</si>
  <si>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</si>
  <si>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</si>
  <si>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</si>
  <si>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</si>
  <si>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</si>
  <si>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</si>
  <si>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</si>
  <si>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</si>
  <si>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</si>
  <si>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</si>
  <si>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</si>
  <si>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</si>
  <si>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</si>
  <si>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</si>
  <si>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</si>
  <si>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</si>
  <si>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</si>
  <si>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</si>
  <si>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</si>
  <si>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</si>
  <si>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</si>
  <si>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</si>
  <si>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</si>
  <si>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</si>
  <si>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</si>
  <si>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</si>
  <si>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</si>
  <si>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</si>
  <si>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</si>
  <si>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</si>
  <si>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</si>
  <si>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</si>
  <si>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</si>
  <si>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</si>
  <si>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</si>
  <si>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</si>
  <si>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</si>
  <si>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</si>
  <si>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</si>
  <si>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</si>
  <si>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</si>
  <si>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</si>
  <si>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</si>
  <si>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</si>
  <si>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</si>
  <si>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</si>
  <si>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</si>
  <si>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</si>
  <si>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</si>
  <si>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</si>
  <si>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</si>
  <si>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</si>
  <si>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</si>
  <si>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</si>
  <si>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</si>
  <si>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</si>
  <si>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</si>
  <si>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</si>
  <si>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</si>
  <si>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</si>
  <si>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</si>
  <si>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</si>
  <si>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</si>
  <si>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</si>
  <si>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</si>
  <si>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</si>
  <si>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</si>
  <si>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</si>
  <si>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</si>
  <si>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</si>
  <si>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</si>
  <si>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</si>
  <si>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</si>
  <si>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</si>
  <si>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</si>
  <si>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</si>
  <si>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</si>
  <si>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</si>
  <si>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</si>
  <si>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</si>
  <si>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</si>
  <si>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</si>
  <si>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</si>
  <si>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</si>
  <si>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</si>
  <si>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</si>
  <si>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</si>
  <si>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</si>
  <si>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</si>
  <si>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</si>
  <si>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</si>
  <si>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</si>
  <si>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</si>
  <si>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</si>
  <si>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</si>
  <si>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</si>
  <si>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</si>
  <si>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</si>
  <si>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</si>
  <si>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</si>
  <si>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</si>
  <si>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</si>
  <si>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</si>
  <si>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</si>
  <si>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</si>
  <si>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</si>
  <si>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</si>
  <si>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</si>
  <si>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</si>
  <si>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</si>
  <si>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</si>
  <si>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</si>
  <si>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</si>
  <si>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</si>
  <si>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</si>
  <si>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</si>
  <si>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</si>
  <si>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</si>
  <si>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</si>
  <si>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</si>
  <si>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</si>
  <si>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</si>
  <si>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</si>
  <si>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</si>
  <si>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</si>
  <si>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</si>
  <si>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</si>
  <si>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</si>
  <si>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</si>
  <si>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</si>
  <si>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</si>
  <si>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</si>
  <si>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</si>
  <si>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</si>
  <si>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</si>
  <si>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</si>
  <si>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</si>
  <si>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</si>
  <si>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</si>
  <si>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</si>
  <si>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</si>
  <si>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</si>
  <si>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</si>
  <si>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</si>
  <si>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</si>
  <si>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</si>
  <si>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</si>
  <si>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</si>
  <si>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</si>
  <si>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</si>
  <si>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</si>
  <si>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</si>
  <si>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</si>
  <si>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</si>
  <si>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</si>
  <si>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</si>
  <si>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</si>
  <si>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</si>
  <si>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</si>
  <si>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</si>
  <si>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</si>
  <si>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</si>
  <si>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</si>
  <si>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</si>
  <si>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</si>
  <si>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</si>
  <si>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</si>
  <si>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</si>
  <si>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</si>
  <si>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</si>
  <si>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</si>
  <si>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</si>
  <si>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</si>
  <si>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</si>
  <si>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</si>
  <si>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</si>
  <si>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</si>
  <si>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</si>
  <si>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</si>
  <si>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</si>
  <si>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</si>
  <si>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</si>
  <si>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</si>
  <si>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</si>
  <si>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</si>
  <si>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</si>
  <si>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</si>
  <si>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</si>
  <si>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</si>
  <si>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</si>
  <si>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</si>
  <si>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</si>
  <si>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</si>
  <si>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</si>
  <si>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</si>
  <si>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</si>
  <si>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</si>
  <si>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</si>
  <si>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</si>
  <si>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</si>
  <si>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</si>
  <si>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</si>
  <si>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</si>
  <si>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</si>
  <si>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</si>
  <si>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</si>
  <si>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</si>
  <si>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</si>
  <si>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</si>
  <si>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</si>
  <si>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</si>
  <si>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</si>
  <si>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</si>
  <si>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</si>
  <si>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</si>
  <si>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</si>
  <si>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</si>
  <si>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</si>
  <si>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</si>
  <si>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</si>
  <si>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</si>
  <si>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</si>
  <si>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</si>
  <si>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</si>
  <si>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</si>
  <si>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</si>
  <si>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</si>
  <si>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</si>
  <si>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</si>
  <si>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</si>
  <si>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</si>
  <si>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</si>
  <si>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</si>
  <si>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</si>
  <si>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</si>
  <si>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</si>
  <si>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</si>
  <si>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</si>
  <si>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</si>
  <si>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</si>
  <si>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</si>
  <si>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</si>
  <si>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</si>
  <si>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</si>
  <si>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</si>
  <si>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</si>
  <si>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</si>
  <si>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</si>
  <si>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</si>
  <si>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</si>
  <si>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</si>
  <si>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</si>
  <si>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</si>
  <si>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</si>
  <si>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</si>
  <si>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</si>
  <si>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</si>
  <si>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</si>
  <si>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</si>
  <si>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</si>
  <si>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</si>
  <si>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</si>
  <si>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</si>
  <si>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</si>
  <si>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</si>
  <si>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</si>
  <si>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</si>
  <si>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</si>
  <si>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</si>
  <si>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</si>
  <si>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</si>
  <si>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</si>
  <si>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</si>
  <si>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</si>
  <si>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</si>
  <si>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</si>
  <si>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</si>
  <si>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</si>
  <si>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</si>
  <si>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</si>
  <si>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</si>
  <si>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</si>
  <si>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</si>
  <si>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</si>
  <si>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</si>
  <si>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</si>
  <si>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</si>
  <si>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</si>
  <si>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</si>
  <si>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</si>
  <si>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</si>
  <si>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</si>
  <si>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</si>
  <si>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</si>
  <si>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</si>
  <si>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</si>
  <si>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</si>
  <si>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</si>
  <si>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</si>
  <si>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</si>
  <si>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</si>
  <si>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</si>
  <si>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</si>
  <si>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</si>
  <si>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</si>
  <si>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</si>
  <si>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</si>
  <si>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</si>
  <si>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</si>
  <si>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</si>
  <si>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</si>
  <si>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</si>
  <si>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</si>
  <si>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</si>
  <si>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</si>
  <si>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</si>
  <si>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</si>
  <si>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</si>
  <si>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</si>
  <si>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</si>
  <si>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</si>
  <si>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</si>
  <si>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</si>
  <si>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</si>
  <si>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</si>
  <si>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</si>
  <si>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</si>
  <si>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</si>
  <si>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</si>
  <si>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</si>
  <si>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</si>
  <si>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</si>
  <si>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</si>
  <si>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</si>
  <si>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</si>
  <si>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</si>
  <si>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</si>
  <si>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</si>
  <si>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</si>
  <si>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</si>
  <si>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</si>
  <si>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</si>
  <si>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</si>
  <si>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</si>
  <si>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</si>
  <si>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</si>
  <si>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</si>
  <si>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</si>
  <si>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</si>
  <si>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</si>
  <si>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</si>
  <si>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</si>
  <si>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</si>
  <si>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</si>
  <si>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</si>
  <si>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</si>
  <si>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</si>
  <si>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</si>
  <si>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</si>
  <si>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</si>
  <si>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</si>
  <si>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</si>
  <si>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</si>
  <si>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</si>
  <si>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</si>
  <si>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</si>
  <si>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</si>
  <si>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</si>
  <si>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</si>
  <si>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</si>
  <si>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</si>
  <si>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</si>
  <si>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</si>
  <si>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</si>
  <si>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</si>
  <si>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</si>
  <si>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</si>
  <si>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</si>
  <si>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</si>
  <si>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</si>
  <si>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Wiltshire</t>
  </si>
  <si>
    <t>RIDING ARENA at GALTEEMORE FARM</t>
  </si>
  <si>
    <t>George Drewett</t>
  </si>
  <si>
    <t>PP-14387927</t>
  </si>
  <si>
    <t>George Drewett (Farm Consultant)</t>
  </si>
  <si>
    <t>15/12/2025</t>
  </si>
  <si>
    <t/>
  </si>
  <si>
    <t>Other</t>
  </si>
  <si>
    <t>No</t>
  </si>
  <si>
    <t>Within 500m of site boundary</t>
  </si>
  <si>
    <t xml:space="preserve">Priority Habitat Inventory - Deciduous Woodland (England) (NE UID: 7a208b1b-0661-48c3-83a0-db1fc15e8b07) - Within 500m 
Priority Habitat Inventory - Deciduous Woodland (England) (NE UID: dfd918f4-be5b-481e-9879-86761d70e3dc) - Within 500m 
Priority Habitat Inventory - Lowland Calcareous Grassland (England) (NE UID: 0cd2d170-dbff-44ec-81b4-6787dba7be28) - Within 500m 
Priority Habitat Inventory - Lowland Calcareous Grassland (England) (NE UID: 52388878-5b7b-4cdc-afa7-277c81832336) - Within 500m 
Priority Habitat Inventory - Deciduous Woodland (England) (NE UID: eaf5bc9c-6f4c-474b-9ea0-b6ae2f5b70a1) - Within 500m 
</t>
  </si>
  <si>
    <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t>
  </si>
  <si>
    <t>Walkover completed by competent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</si>
</sst>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0.76838357999999995</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0.88275087980956068</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4" zoomScale="80" zoomScaleNormal="80" workbookViewId="0">
      <selection activeCell="D21" sqref="D21:H22"/>
    </sheetView>
  </sheetViews>
  <sheetFormatPr defaultColWidth="0" defaultRowHeight="14.4" zeroHeight="1"/>
  <cols>
    <col min="1" max="1" width="3.5546875" customWidth="1"/>
    <col min="2" max="6" width="8.77734375" customWidth="1"/>
    <col min="7" max="7" width="11.77734375" customWidth="1"/>
    <col min="8" max="8" width="8.77734375" customWidth="1"/>
    <col min="9" max="9" width="12.77734375" customWidth="1"/>
    <col min="10" max="10" width="14.77734375" customWidth="1"/>
    <col min="11" max="18" width="8.77734375" customWidth="1"/>
    <col min="19" max="19" width="3.77734375" customWidth="1"/>
    <col min="20" max="30" width="8.77734375" hidden="1" customWidth="1"/>
    <col min="31" max="16384" width="8.77734375" hidden="1"/>
  </cols>
  <sheetData>
    <row r="1" spans="1:30">
      <c r="A1" s="25"/>
      <c r="B1" s="25"/>
      <c r="C1" s="25"/>
      <c r="D1" s="572"/>
      <c r="E1" s="572"/>
      <c r="F1" s="572"/>
      <c r="G1" s="572"/>
      <c r="H1" s="572"/>
      <c r="I1" s="572"/>
      <c r="J1" s="572"/>
      <c r="K1" s="25"/>
      <c r="L1" s="25"/>
      <c r="M1" s="25"/>
      <c r="N1" s="25"/>
      <c r="O1" s="25"/>
      <c r="P1" s="25"/>
      <c r="Q1" s="25"/>
      <c r="R1" s="25"/>
      <c r="S1" s="25"/>
      <c r="T1" s="25"/>
      <c r="U1" s="25"/>
      <c r="V1" s="25"/>
      <c r="W1" s="25"/>
      <c r="X1" s="25"/>
      <c r="Y1" s="25"/>
      <c r="Z1" s="25"/>
      <c r="AA1" s="25"/>
      <c r="AB1" s="25"/>
      <c r="AC1" s="25"/>
      <c r="AD1" s="25"/>
    </row>
    <row r="2" spans="1:30">
      <c r="A2" s="25"/>
      <c r="B2" s="25"/>
      <c r="C2" s="25"/>
      <c r="D2" s="572"/>
      <c r="E2" s="572"/>
      <c r="F2" s="572"/>
      <c r="G2" s="572"/>
      <c r="H2" s="572"/>
      <c r="I2" s="572"/>
      <c r="J2" s="572"/>
      <c r="K2" s="25"/>
      <c r="L2" s="25"/>
      <c r="M2" s="25"/>
      <c r="N2" s="25"/>
      <c r="O2" s="25"/>
      <c r="P2" s="25"/>
      <c r="Q2" s="25"/>
      <c r="R2" s="25"/>
      <c r="S2" s="25"/>
      <c r="T2" s="25"/>
      <c r="U2" s="25"/>
      <c r="V2" s="25"/>
      <c r="W2" s="25"/>
      <c r="X2" s="25"/>
      <c r="Y2" s="25"/>
      <c r="Z2" s="25"/>
      <c r="AA2" s="25"/>
      <c r="AB2" s="25"/>
      <c r="AC2" s="25"/>
      <c r="AD2" s="25"/>
    </row>
    <row r="3" spans="1:30">
      <c r="A3" s="25"/>
      <c r="B3" s="25"/>
      <c r="C3" s="25"/>
      <c r="D3" s="572"/>
      <c r="E3" s="572"/>
      <c r="F3" s="572"/>
      <c r="G3" s="572"/>
      <c r="H3" s="572"/>
      <c r="I3" s="572"/>
      <c r="J3" s="572"/>
      <c r="K3" s="25"/>
      <c r="L3" s="25"/>
      <c r="M3" s="25"/>
      <c r="N3" s="25"/>
      <c r="O3" s="25"/>
      <c r="P3" s="25"/>
      <c r="Q3" s="25"/>
      <c r="R3" s="25"/>
      <c r="S3" s="25"/>
      <c r="T3" s="25"/>
      <c r="U3" s="25"/>
      <c r="V3" s="25"/>
      <c r="W3" s="25"/>
      <c r="X3" s="25"/>
      <c r="Y3" s="25"/>
      <c r="Z3" s="25"/>
      <c r="AA3" s="25"/>
      <c r="AB3" s="25"/>
      <c r="AC3" s="25"/>
      <c r="AD3" s="25"/>
    </row>
    <row r="4" spans="1:30">
      <c r="A4" s="25"/>
      <c r="B4" s="25"/>
      <c r="C4" s="25"/>
      <c r="D4" s="572"/>
      <c r="E4" s="572"/>
      <c r="F4" s="572"/>
      <c r="G4" s="572"/>
      <c r="H4" s="572"/>
      <c r="I4" s="572"/>
      <c r="J4" s="572"/>
      <c r="K4" s="25"/>
      <c r="L4" s="25"/>
      <c r="M4" s="25"/>
      <c r="N4" s="25"/>
      <c r="O4" s="25"/>
      <c r="P4" s="25"/>
      <c r="Q4" s="25"/>
      <c r="R4" s="25"/>
      <c r="S4" s="25"/>
      <c r="T4" s="25"/>
      <c r="U4" s="25"/>
      <c r="V4" s="25"/>
      <c r="W4" s="25"/>
      <c r="X4" s="25"/>
      <c r="Y4" s="25"/>
      <c r="Z4" s="25"/>
      <c r="AA4" s="25"/>
      <c r="AB4" s="25"/>
      <c r="AC4" s="25"/>
      <c r="AD4" s="25"/>
    </row>
    <row r="5" spans="1:30">
      <c r="A5" s="25"/>
      <c r="B5" s="25"/>
      <c r="C5" s="25"/>
      <c r="D5" s="572"/>
      <c r="E5" s="572"/>
      <c r="F5" s="572"/>
      <c r="G5" s="572"/>
      <c r="H5" s="572"/>
      <c r="I5" s="572"/>
      <c r="J5" s="572"/>
      <c r="K5" s="25"/>
      <c r="L5" s="25"/>
      <c r="M5" s="25"/>
      <c r="N5" s="25"/>
      <c r="O5" s="25"/>
      <c r="P5" s="25"/>
      <c r="Q5" s="25"/>
      <c r="R5" s="25"/>
      <c r="S5" s="25"/>
      <c r="T5" s="25"/>
      <c r="U5" s="25"/>
      <c r="V5" s="25"/>
      <c r="W5" s="25"/>
      <c r="X5" s="25"/>
      <c r="Y5" s="25"/>
      <c r="Z5" s="25"/>
      <c r="AA5" s="25"/>
      <c r="AB5" s="25"/>
      <c r="AC5" s="25"/>
      <c r="AD5" s="25"/>
    </row>
    <row r="6" spans="1:30">
      <c r="A6" s="157" t="s">
        <v>0</v>
      </c>
      <c r="B6" s="574" t="s">
        <v>1027</v>
      </c>
      <c r="C6" s="575"/>
      <c r="D6" s="575"/>
      <c r="E6" s="575"/>
      <c r="F6" s="575"/>
      <c r="G6" s="575"/>
      <c r="H6" s="575"/>
      <c r="I6" s="575"/>
      <c r="J6" s="575"/>
      <c r="K6" s="25"/>
      <c r="L6" s="25"/>
      <c r="M6" s="25"/>
      <c r="N6" s="25"/>
      <c r="O6" s="25"/>
      <c r="P6" s="25"/>
      <c r="Q6" s="25"/>
      <c r="R6" s="25"/>
      <c r="S6" s="25"/>
      <c r="T6" s="25"/>
      <c r="U6" s="25"/>
      <c r="V6" s="25"/>
      <c r="W6" s="25"/>
      <c r="X6" s="25"/>
      <c r="Y6" s="25"/>
      <c r="Z6" s="25"/>
      <c r="AA6" s="25"/>
      <c r="AB6" s="25"/>
      <c r="AC6" s="25"/>
      <c r="AD6" s="25"/>
    </row>
    <row r="7" spans="1:30">
      <c r="A7" s="25"/>
      <c r="B7" s="575"/>
      <c r="C7" s="575"/>
      <c r="D7" s="575"/>
      <c r="E7" s="575"/>
      <c r="F7" s="575"/>
      <c r="G7" s="575"/>
      <c r="H7" s="575"/>
      <c r="I7" s="575"/>
      <c r="J7" s="575"/>
      <c r="K7" s="25"/>
      <c r="L7" s="25"/>
      <c r="M7" s="25"/>
      <c r="N7" s="25"/>
      <c r="O7" s="25"/>
      <c r="P7" s="25"/>
      <c r="Q7" s="25"/>
      <c r="R7" s="25"/>
      <c r="S7" s="25"/>
      <c r="T7" s="25"/>
      <c r="U7" s="25"/>
      <c r="V7" s="25"/>
      <c r="W7" s="25"/>
      <c r="X7" s="25"/>
      <c r="Y7" s="25"/>
      <c r="Z7" s="25"/>
      <c r="AA7" s="25"/>
      <c r="AB7" s="25"/>
      <c r="AC7" s="25"/>
      <c r="AD7" s="25"/>
    </row>
    <row r="8" spans="1:30" ht="28.5" customHeight="1">
      <c r="A8" s="25"/>
      <c r="B8" s="575"/>
      <c r="C8" s="575"/>
      <c r="D8" s="575"/>
      <c r="E8" s="575"/>
      <c r="F8" s="575"/>
      <c r="G8" s="575"/>
      <c r="H8" s="575"/>
      <c r="I8" s="575"/>
      <c r="J8" s="575"/>
      <c r="K8" s="25"/>
      <c r="L8" s="25"/>
      <c r="M8" s="25"/>
      <c r="N8" s="25"/>
      <c r="O8" s="25"/>
      <c r="P8" s="25"/>
      <c r="Q8" s="25"/>
      <c r="R8" s="25"/>
      <c r="S8" s="25"/>
      <c r="T8" s="25"/>
      <c r="U8" s="25"/>
      <c r="V8" s="25"/>
      <c r="W8" s="25"/>
      <c r="X8" s="25"/>
      <c r="Y8" s="25"/>
      <c r="Z8" s="25"/>
      <c r="AA8" s="25"/>
      <c r="AB8" s="25"/>
      <c r="AC8" s="25"/>
      <c r="AD8" s="25"/>
    </row>
    <row r="9" spans="1:30" ht="14.55" customHeight="1">
      <c r="A9" s="25"/>
      <c r="B9" s="576"/>
      <c r="C9" s="576"/>
      <c r="D9" s="576"/>
      <c r="E9" s="576"/>
      <c r="F9" s="576"/>
      <c r="G9" s="576"/>
      <c r="H9" s="576"/>
      <c r="I9" s="576"/>
      <c r="J9" s="576"/>
      <c r="K9" s="25"/>
      <c r="L9" s="25"/>
      <c r="M9" s="25"/>
      <c r="N9" s="25"/>
      <c r="O9" s="25"/>
      <c r="P9" s="25"/>
      <c r="Q9" s="25"/>
      <c r="R9" s="25"/>
      <c r="S9" s="25"/>
      <c r="T9" s="25"/>
      <c r="U9" s="25"/>
      <c r="V9" s="25"/>
      <c r="W9" s="25"/>
      <c r="X9" s="25"/>
      <c r="Y9" s="25"/>
      <c r="Z9" s="25"/>
      <c r="AA9" s="25"/>
      <c r="AB9" s="25"/>
      <c r="AC9" s="25"/>
      <c r="AD9" s="25"/>
    </row>
    <row r="10" spans="1:30" ht="20.55" customHeight="1">
      <c r="A10" s="25"/>
      <c r="B10" s="576"/>
      <c r="C10" s="576"/>
      <c r="D10" s="576"/>
      <c r="E10" s="576"/>
      <c r="F10" s="576"/>
      <c r="G10" s="576"/>
      <c r="H10" s="576"/>
      <c r="I10" s="576"/>
      <c r="J10" s="576"/>
      <c r="K10" s="25"/>
      <c r="L10" s="25"/>
      <c r="M10" s="25"/>
      <c r="N10" s="25"/>
      <c r="O10" s="25"/>
      <c r="P10" s="25"/>
      <c r="Q10" s="25"/>
      <c r="R10" s="25"/>
      <c r="S10" s="25"/>
      <c r="T10" s="25"/>
      <c r="U10" s="25"/>
      <c r="V10" s="25"/>
      <c r="W10" s="25"/>
      <c r="X10" s="25"/>
      <c r="Y10" s="25"/>
      <c r="Z10" s="25"/>
      <c r="AA10" s="25"/>
      <c r="AB10" s="25"/>
      <c r="AC10" s="25"/>
      <c r="AD10" s="25"/>
    </row>
    <row r="11" spans="1:30">
      <c r="A11" s="25"/>
      <c r="B11" s="577" t="s">
        <v>1042</v>
      </c>
      <c r="C11" s="577"/>
      <c r="D11" s="577"/>
      <c r="E11" s="577"/>
      <c r="F11" s="569" t="s">
        <v>1050</v>
      </c>
      <c r="G11" s="569"/>
      <c r="H11" s="569"/>
      <c r="I11" s="569"/>
      <c r="J11" s="569"/>
      <c r="K11" s="25"/>
      <c r="L11" s="25"/>
      <c r="M11" s="25"/>
      <c r="N11" s="25"/>
      <c r="O11" s="25"/>
      <c r="P11" s="25"/>
      <c r="Q11" s="25"/>
      <c r="R11" s="25"/>
      <c r="S11" s="25"/>
      <c r="T11" s="25"/>
      <c r="U11" s="25"/>
      <c r="V11" s="25"/>
      <c r="W11" s="25"/>
      <c r="X11" s="25"/>
      <c r="Y11" s="25"/>
      <c r="Z11" s="25"/>
      <c r="AA11" s="25"/>
      <c r="AB11" s="25"/>
      <c r="AC11" s="25"/>
      <c r="AD11" s="25"/>
    </row>
    <row r="12" spans="1:30">
      <c r="A12" s="25"/>
      <c r="B12" s="570"/>
      <c r="C12" s="570"/>
      <c r="D12" s="570"/>
      <c r="E12" s="570"/>
      <c r="F12" s="570"/>
      <c r="G12" s="570"/>
      <c r="H12" s="570"/>
      <c r="I12" s="570"/>
      <c r="J12" s="57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5" customHeight="1">
      <c r="A14" s="25"/>
      <c r="B14" s="571"/>
      <c r="C14" s="578"/>
      <c r="D14" s="578"/>
      <c r="E14" s="578"/>
      <c r="F14" s="578"/>
      <c r="G14" s="578"/>
      <c r="H14" s="578"/>
      <c r="I14" s="578"/>
      <c r="J14" s="57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71"/>
      <c r="C15" s="578"/>
      <c r="D15" s="578"/>
      <c r="E15" s="578"/>
      <c r="F15" s="578"/>
      <c r="G15" s="578"/>
      <c r="H15" s="578"/>
      <c r="I15" s="578"/>
      <c r="J15" s="57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73" t="s">
        <v>1</v>
      </c>
      <c r="C17" s="573"/>
      <c r="D17" s="573"/>
      <c r="E17" s="573"/>
      <c r="F17" s="573"/>
      <c r="G17" s="573"/>
      <c r="H17" s="573"/>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5" customHeight="1">
      <c r="A19" s="25"/>
      <c r="B19" s="579"/>
      <c r="C19" s="580"/>
      <c r="D19" s="583" t="s">
        <v>2</v>
      </c>
      <c r="E19" s="584"/>
      <c r="F19" s="584"/>
      <c r="G19" s="584"/>
      <c r="H19" s="58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81"/>
      <c r="C20" s="582"/>
      <c r="D20" s="586"/>
      <c r="E20" s="587"/>
      <c r="F20" s="587"/>
      <c r="G20" s="587"/>
      <c r="H20" s="588"/>
      <c r="I20" s="25"/>
      <c r="J20" s="25"/>
      <c r="K20" s="25"/>
      <c r="L20" s="25"/>
      <c r="M20" s="25"/>
      <c r="N20" s="25"/>
      <c r="O20" s="25"/>
      <c r="P20" s="25"/>
      <c r="Q20" s="25"/>
      <c r="R20" s="25"/>
      <c r="S20" s="25"/>
      <c r="T20" s="25"/>
      <c r="U20" s="25"/>
      <c r="V20" s="25"/>
      <c r="W20" s="25"/>
      <c r="X20" s="25"/>
      <c r="Y20" s="25"/>
      <c r="Z20" s="25"/>
      <c r="AA20" s="25"/>
      <c r="AB20" s="25"/>
      <c r="AC20" s="25"/>
      <c r="AD20" s="25"/>
    </row>
    <row r="21" spans="1:30" ht="14.55" customHeight="1">
      <c r="A21" s="25"/>
      <c r="B21" s="603"/>
      <c r="C21" s="604"/>
      <c r="D21" s="607" t="s">
        <v>3</v>
      </c>
      <c r="E21" s="608"/>
      <c r="F21" s="608"/>
      <c r="G21" s="608"/>
      <c r="H21" s="609"/>
      <c r="I21" s="25"/>
      <c r="J21" s="25"/>
      <c r="K21" s="25"/>
      <c r="L21" s="25"/>
      <c r="M21" s="25"/>
      <c r="N21" s="25"/>
      <c r="O21" s="25"/>
      <c r="P21" s="25"/>
      <c r="Q21" s="25"/>
      <c r="R21" s="25"/>
      <c r="S21" s="25"/>
      <c r="T21" s="25"/>
      <c r="U21" s="25"/>
      <c r="V21" s="25"/>
      <c r="W21" s="25"/>
      <c r="X21" s="25"/>
      <c r="Y21" s="25"/>
      <c r="Z21" s="25"/>
      <c r="AA21" s="25"/>
      <c r="AB21" s="25"/>
      <c r="AC21" s="25"/>
      <c r="AD21" s="25"/>
    </row>
    <row r="22" spans="1:30" ht="14.55" customHeight="1">
      <c r="A22" s="25"/>
      <c r="B22" s="605"/>
      <c r="C22" s="606"/>
      <c r="D22" s="586"/>
      <c r="E22" s="587"/>
      <c r="F22" s="587"/>
      <c r="G22" s="587"/>
      <c r="H22" s="588"/>
      <c r="I22" s="25"/>
      <c r="J22" s="25"/>
      <c r="K22" s="25"/>
      <c r="L22" s="25"/>
      <c r="M22" s="25"/>
      <c r="N22" s="25"/>
      <c r="O22" s="25"/>
      <c r="P22" s="25"/>
      <c r="Q22" s="25"/>
      <c r="R22" s="25"/>
      <c r="S22" s="25"/>
      <c r="T22" s="25"/>
      <c r="U22" s="25"/>
      <c r="V22" s="25"/>
      <c r="W22" s="25"/>
      <c r="X22" s="25"/>
      <c r="Y22" s="25"/>
      <c r="Z22" s="25"/>
      <c r="AA22" s="25"/>
      <c r="AB22" s="25"/>
      <c r="AC22" s="25"/>
      <c r="AD22" s="25"/>
    </row>
    <row r="23" spans="1:30" ht="14.55" customHeight="1">
      <c r="A23" s="25"/>
      <c r="B23" s="593"/>
      <c r="C23" s="594"/>
      <c r="D23" s="597" t="s">
        <v>4</v>
      </c>
      <c r="E23" s="598"/>
      <c r="F23" s="598"/>
      <c r="G23" s="598"/>
      <c r="H23" s="599"/>
      <c r="I23" s="25"/>
      <c r="J23" s="25"/>
      <c r="K23" s="25"/>
      <c r="L23" s="25"/>
      <c r="M23" s="25"/>
      <c r="N23" s="25"/>
      <c r="O23" s="25"/>
      <c r="P23" s="25"/>
      <c r="Q23" s="25"/>
      <c r="R23" s="25"/>
      <c r="S23" s="25"/>
      <c r="T23" s="25"/>
      <c r="U23" s="25"/>
      <c r="V23" s="25"/>
      <c r="W23" s="25"/>
      <c r="X23" s="25"/>
      <c r="Y23" s="25"/>
      <c r="Z23" s="25"/>
      <c r="AA23" s="25"/>
      <c r="AB23" s="25"/>
      <c r="AC23" s="25"/>
      <c r="AD23" s="25"/>
    </row>
    <row r="24" spans="1:30" ht="14.55" customHeight="1">
      <c r="A24" s="25"/>
      <c r="B24" s="595"/>
      <c r="C24" s="596"/>
      <c r="D24" s="600"/>
      <c r="E24" s="601"/>
      <c r="F24" s="601"/>
      <c r="G24" s="601"/>
      <c r="H24" s="602"/>
      <c r="I24" s="25"/>
      <c r="J24" s="25"/>
      <c r="K24" s="25"/>
      <c r="L24" s="25"/>
      <c r="M24" s="25"/>
      <c r="N24" s="25"/>
      <c r="O24" s="25"/>
      <c r="P24" s="25"/>
      <c r="Q24" s="25"/>
      <c r="R24" s="25"/>
      <c r="S24" s="25"/>
      <c r="T24" s="25"/>
      <c r="U24" s="25"/>
      <c r="V24" s="25"/>
      <c r="W24" s="25"/>
      <c r="X24" s="25"/>
      <c r="Y24" s="25"/>
      <c r="Z24" s="25"/>
      <c r="AA24" s="25"/>
      <c r="AB24" s="25"/>
      <c r="AC24" s="25"/>
      <c r="AD24" s="25"/>
    </row>
    <row r="25" spans="1:30" ht="28.05" customHeight="1">
      <c r="A25" s="25"/>
      <c r="B25" s="387"/>
      <c r="C25" s="388"/>
      <c r="D25" s="616" t="s">
        <v>5</v>
      </c>
      <c r="E25" s="617"/>
      <c r="F25" s="617"/>
      <c r="G25" s="617"/>
      <c r="H25" s="618"/>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16" t="s">
        <v>6</v>
      </c>
      <c r="E26" s="617"/>
      <c r="F26" s="617"/>
      <c r="G26" s="617"/>
      <c r="H26" s="61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14" t="s">
        <v>7</v>
      </c>
      <c r="C27" s="615"/>
      <c r="D27" s="616" t="s">
        <v>8</v>
      </c>
      <c r="E27" s="617"/>
      <c r="F27" s="617"/>
      <c r="G27" s="617"/>
      <c r="H27" s="61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89" t="s">
        <v>9</v>
      </c>
      <c r="C28" s="590"/>
      <c r="D28" s="591" t="s">
        <v>10</v>
      </c>
      <c r="E28" s="591"/>
      <c r="F28" s="591"/>
      <c r="G28" s="591"/>
      <c r="H28" s="592"/>
      <c r="I28" s="25"/>
      <c r="J28" s="568" t="s">
        <v>11</v>
      </c>
      <c r="K28" s="568"/>
      <c r="L28" s="568"/>
      <c r="M28" s="568"/>
      <c r="N28" s="568"/>
      <c r="O28" s="568"/>
      <c r="P28" s="568"/>
      <c r="Q28" s="568"/>
      <c r="R28" s="568"/>
      <c r="S28" s="25"/>
      <c r="T28" s="25"/>
      <c r="U28" s="25"/>
      <c r="V28" s="25"/>
      <c r="W28" s="25"/>
      <c r="X28" s="25"/>
      <c r="Y28" s="25"/>
      <c r="Z28" s="25"/>
      <c r="AA28" s="25"/>
      <c r="AB28" s="25"/>
      <c r="AC28" s="25"/>
      <c r="AD28" s="25"/>
    </row>
    <row r="29" spans="1:30" ht="24" customHeight="1" thickBot="1">
      <c r="A29" s="25"/>
      <c r="B29" s="610"/>
      <c r="C29" s="611"/>
      <c r="D29" s="612" t="s">
        <v>12</v>
      </c>
      <c r="E29" s="612"/>
      <c r="F29" s="612"/>
      <c r="G29" s="612"/>
      <c r="H29" s="613"/>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5" zoomScale="80" zoomScaleNormal="80" workbookViewId="0">
      <selection activeCell="D15" sqref="D15"/>
    </sheetView>
  </sheetViews>
  <sheetFormatPr defaultColWidth="0" defaultRowHeight="0" customHeight="1" zeroHeight="1"/>
  <cols>
    <col min="1" max="1" width="4.5546875" customWidth="1"/>
    <col min="2" max="3" width="39.21875" customWidth="1"/>
    <col min="4" max="4" width="70.77734375" customWidth="1"/>
    <col min="5" max="5" width="6" customWidth="1"/>
    <col min="6" max="6" width="13.77734375" customWidth="1"/>
    <col min="7" max="11" width="8.77734375" customWidth="1"/>
    <col min="12" max="16384" width="8.77734375" hidden="1"/>
  </cols>
  <sheetData>
    <row r="1" spans="1:11" ht="15" thickBot="1">
      <c r="A1" s="25"/>
      <c r="B1" s="25"/>
      <c r="C1" s="25"/>
      <c r="D1" s="25"/>
      <c r="E1" s="25"/>
      <c r="F1" s="25"/>
      <c r="G1" s="25"/>
      <c r="H1" s="25"/>
      <c r="I1" s="25"/>
      <c r="J1" s="25"/>
      <c r="K1" s="25"/>
    </row>
    <row r="2" spans="1:11" ht="32.549999999999997" customHeight="1" thickBot="1">
      <c r="A2" s="25"/>
      <c r="B2" s="621" t="s">
        <v>13</v>
      </c>
      <c r="C2" s="622"/>
      <c r="D2" s="260" t="s">
        <v>14</v>
      </c>
      <c r="E2" s="40"/>
      <c r="F2" s="25"/>
      <c r="G2" s="25"/>
      <c r="H2" s="25"/>
      <c r="I2" s="25"/>
      <c r="J2" s="25"/>
      <c r="K2" s="25"/>
    </row>
    <row r="3" spans="1:11" ht="42" customHeight="1">
      <c r="A3" s="25"/>
      <c r="B3" s="623" t="s">
        <v>15</v>
      </c>
      <c r="C3" s="624"/>
      <c r="D3" s="31" t="s">
        <v>1051</v>
      </c>
      <c r="E3" s="25"/>
      <c r="F3" s="25"/>
      <c r="G3" s="25"/>
      <c r="H3" s="25"/>
      <c r="I3" s="25"/>
      <c r="J3" s="25"/>
      <c r="K3" s="25"/>
    </row>
    <row r="4" spans="1:11" ht="42" customHeight="1">
      <c r="A4" s="25"/>
      <c r="B4" s="619" t="s">
        <v>16</v>
      </c>
      <c r="C4" s="620"/>
      <c r="D4" s="32" t="s">
        <v>1052</v>
      </c>
      <c r="E4" s="25"/>
      <c r="F4" s="25"/>
      <c r="G4" s="25"/>
      <c r="H4" s="25"/>
      <c r="I4" s="25"/>
      <c r="J4" s="25"/>
      <c r="K4" s="25"/>
    </row>
    <row r="5" spans="1:11" ht="42" customHeight="1">
      <c r="A5" s="25"/>
      <c r="B5" s="619" t="s">
        <v>17</v>
      </c>
      <c r="C5" s="620"/>
      <c r="D5" s="32" t="s">
        <v>1053</v>
      </c>
      <c r="E5" s="25"/>
      <c r="F5" s="25"/>
      <c r="G5" s="25"/>
      <c r="H5" s="25"/>
      <c r="I5" s="25"/>
      <c r="J5" s="25"/>
      <c r="K5" s="25"/>
    </row>
    <row r="6" spans="1:11" ht="42" customHeight="1">
      <c r="A6" s="25"/>
      <c r="B6" s="619" t="s">
        <v>18</v>
      </c>
      <c r="C6" s="620"/>
      <c r="D6" s="32" t="s">
        <v>460</v>
      </c>
      <c r="E6" s="25"/>
      <c r="F6" s="25"/>
      <c r="G6" s="25"/>
      <c r="H6" s="25"/>
      <c r="I6" s="25"/>
      <c r="J6" s="25"/>
      <c r="K6" s="25"/>
    </row>
    <row r="7" spans="1:11" ht="42" customHeight="1">
      <c r="A7" s="25"/>
      <c r="B7" s="619" t="s">
        <v>19</v>
      </c>
      <c r="C7" s="620"/>
      <c r="D7" s="32" t="s">
        <v>1054</v>
      </c>
      <c r="E7" s="25"/>
      <c r="F7" s="25"/>
      <c r="G7" s="25"/>
      <c r="H7" s="25"/>
      <c r="I7" s="25"/>
      <c r="J7" s="25"/>
      <c r="K7" s="25"/>
    </row>
    <row r="8" spans="1:11" ht="42" customHeight="1">
      <c r="A8" s="25"/>
      <c r="B8" s="619" t="s">
        <v>20</v>
      </c>
      <c r="C8" s="620"/>
      <c r="D8" s="32" t="s">
        <v>1055</v>
      </c>
      <c r="E8" s="25"/>
      <c r="F8" s="25"/>
      <c r="G8" s="25"/>
      <c r="H8" s="25"/>
      <c r="I8" s="25"/>
      <c r="J8" s="25"/>
      <c r="K8" s="25"/>
    </row>
    <row r="9" spans="1:11" ht="42" customHeight="1">
      <c r="A9" s="25"/>
      <c r="B9" s="619" t="s">
        <v>21</v>
      </c>
      <c r="C9" s="620"/>
      <c r="D9" s="287" t="s">
        <v>1056</v>
      </c>
      <c r="E9" s="25"/>
      <c r="F9" s="25"/>
      <c r="G9" s="25"/>
      <c r="H9" s="25"/>
      <c r="I9" s="25"/>
      <c r="J9" s="25"/>
      <c r="K9" s="25"/>
    </row>
    <row r="10" spans="1:11" ht="42" customHeight="1">
      <c r="A10" s="25"/>
      <c r="B10" s="619" t="s">
        <v>22</v>
      </c>
      <c r="C10" s="620"/>
      <c r="D10" s="32"/>
      <c r="E10" s="25"/>
      <c r="F10" s="25"/>
      <c r="G10" s="25"/>
      <c r="H10" s="25"/>
      <c r="I10" s="25"/>
      <c r="J10" s="25"/>
      <c r="K10" s="25"/>
    </row>
    <row r="11" spans="1:11" ht="42" customHeight="1" thickBot="1">
      <c r="A11" s="25"/>
      <c r="B11" s="625" t="s">
        <v>23</v>
      </c>
      <c r="C11" s="626"/>
      <c r="D11" s="201" t="s">
        <v>1057</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8" t="s">
        <v>25</v>
      </c>
      <c r="C13" s="147" t="s">
        <v>1043</v>
      </c>
      <c r="D13" s="33">
        <v>10</v>
      </c>
      <c r="E13" s="632" t="str">
        <f>IF(D13&lt;10,"Caution - % target reduced below default ▲",IF(D13&gt;10,"Caution -Target increased above default ⚠",""))</f>
        <v/>
      </c>
      <c r="F13" s="633"/>
      <c r="G13" s="633"/>
      <c r="H13" s="633"/>
      <c r="I13" s="633"/>
      <c r="J13" s="435"/>
      <c r="K13" s="25"/>
    </row>
    <row r="14" spans="1:11" ht="42" customHeight="1">
      <c r="A14" s="25"/>
      <c r="B14" s="629"/>
      <c r="C14" s="148" t="s">
        <v>1044</v>
      </c>
      <c r="D14" s="34">
        <v>10</v>
      </c>
      <c r="E14" s="632" t="str">
        <f t="shared" ref="E14:E15" si="0">IF(D14&lt;10,"Caution - % target reduced below default ▲",IF(D14&gt;10,"Caution -Target increased above default ⚠",""))</f>
        <v/>
      </c>
      <c r="F14" s="633"/>
      <c r="G14" s="633"/>
      <c r="H14" s="633"/>
      <c r="I14" s="633"/>
      <c r="J14" s="25"/>
      <c r="K14" s="25"/>
    </row>
    <row r="15" spans="1:11" ht="42" customHeight="1" thickBot="1">
      <c r="A15" s="25"/>
      <c r="B15" s="630"/>
      <c r="C15" s="149" t="s">
        <v>26</v>
      </c>
      <c r="D15" s="35">
        <v>10</v>
      </c>
      <c r="E15" s="632" t="str">
        <f t="shared" si="0"/>
        <v/>
      </c>
      <c r="F15" s="633"/>
      <c r="G15" s="633"/>
      <c r="H15" s="633"/>
      <c r="I15" s="633"/>
      <c r="J15" s="25"/>
      <c r="K15" s="25"/>
    </row>
    <row r="16" spans="1:11" ht="36.6" customHeight="1" thickBot="1">
      <c r="A16" s="25"/>
      <c r="B16" s="153"/>
      <c r="C16" s="153"/>
      <c r="D16" s="501"/>
      <c r="E16" s="25"/>
      <c r="F16" s="25"/>
      <c r="G16" s="25"/>
      <c r="H16" s="25"/>
      <c r="I16" s="25"/>
      <c r="J16" s="25"/>
      <c r="K16" s="25"/>
    </row>
    <row r="17" spans="1:11" ht="40.950000000000003" customHeight="1">
      <c r="A17" s="25"/>
      <c r="B17" s="628" t="s">
        <v>1028</v>
      </c>
      <c r="C17" s="147" t="s">
        <v>1045</v>
      </c>
      <c r="D17" s="33">
        <v>0</v>
      </c>
      <c r="E17" s="631" t="str">
        <f>IF(D17=0,"","Unit increase Targets must be agreed with LPA ⚠")</f>
        <v/>
      </c>
      <c r="F17" s="631"/>
      <c r="G17" s="631"/>
      <c r="H17" s="631"/>
      <c r="I17" s="631"/>
      <c r="J17" s="25"/>
      <c r="K17" s="25"/>
    </row>
    <row r="18" spans="1:11" ht="40.950000000000003" customHeight="1">
      <c r="A18" s="25"/>
      <c r="B18" s="629"/>
      <c r="C18" s="148" t="s">
        <v>27</v>
      </c>
      <c r="D18" s="34">
        <v>0</v>
      </c>
      <c r="E18" s="631" t="str">
        <f t="shared" ref="E18:E19" si="1">IF(D18=0,"","Unit increase Targets must be agreed with LPA ⚠")</f>
        <v/>
      </c>
      <c r="F18" s="631"/>
      <c r="G18" s="631"/>
      <c r="H18" s="631"/>
      <c r="I18" s="631"/>
      <c r="J18" s="25"/>
      <c r="K18" s="25"/>
    </row>
    <row r="19" spans="1:11" ht="40.950000000000003" customHeight="1" thickBot="1">
      <c r="A19" s="25"/>
      <c r="B19" s="630"/>
      <c r="C19" s="149" t="s">
        <v>28</v>
      </c>
      <c r="D19" s="35">
        <v>0</v>
      </c>
      <c r="E19" s="631" t="str">
        <f t="shared" si="1"/>
        <v/>
      </c>
      <c r="F19" s="631"/>
      <c r="G19" s="631"/>
      <c r="H19" s="631"/>
      <c r="I19" s="631"/>
      <c r="J19" s="25"/>
      <c r="K19" s="25"/>
    </row>
    <row r="20" spans="1:11" ht="23.55" customHeight="1">
      <c r="A20" s="25"/>
      <c r="B20" s="25"/>
      <c r="C20" s="25"/>
      <c r="D20" s="25"/>
      <c r="E20" s="153"/>
      <c r="F20" s="153"/>
      <c r="G20" s="153"/>
      <c r="H20" s="153"/>
      <c r="I20" s="153"/>
      <c r="J20" s="25"/>
      <c r="K20" s="25"/>
    </row>
    <row r="21" spans="1:11" ht="34.200000000000003" customHeight="1" thickBot="1">
      <c r="A21" s="25"/>
      <c r="B21" s="627" t="s">
        <v>29</v>
      </c>
      <c r="C21" s="627"/>
      <c r="D21" s="627"/>
      <c r="E21" s="153"/>
      <c r="F21" s="153"/>
      <c r="G21" s="153"/>
      <c r="H21" s="153"/>
      <c r="I21" s="153"/>
      <c r="J21" s="25"/>
      <c r="K21" s="25"/>
    </row>
    <row r="22" spans="1:11" ht="40.950000000000003" customHeight="1">
      <c r="A22" s="25"/>
      <c r="B22" s="623" t="s">
        <v>30</v>
      </c>
      <c r="C22" s="624"/>
      <c r="D22" s="31"/>
      <c r="E22" s="153"/>
      <c r="F22" s="153"/>
      <c r="G22" s="153"/>
      <c r="H22" s="153"/>
      <c r="I22" s="153"/>
      <c r="J22" s="25"/>
      <c r="K22" s="25"/>
    </row>
    <row r="23" spans="1:11" ht="40.950000000000003" customHeight="1" thickBot="1">
      <c r="A23" s="25"/>
      <c r="B23" s="625" t="s">
        <v>31</v>
      </c>
      <c r="C23" s="626"/>
      <c r="D23" s="288"/>
      <c r="E23" s="153"/>
      <c r="F23" s="153"/>
      <c r="G23" s="153"/>
      <c r="H23" s="153"/>
      <c r="I23" s="153"/>
      <c r="J23" s="25"/>
      <c r="K23" s="25"/>
    </row>
    <row r="24" spans="1:11" ht="40.950000000000003" customHeight="1">
      <c r="A24" s="25"/>
      <c r="B24" s="25"/>
      <c r="C24" s="25"/>
      <c r="D24" s="25"/>
      <c r="E24" s="25"/>
      <c r="F24" s="195"/>
      <c r="G24" s="195"/>
      <c r="H24" s="195"/>
      <c r="I24" s="195"/>
      <c r="J24" s="25"/>
      <c r="K24" s="25"/>
    </row>
    <row r="25" spans="1:11" ht="40.950000000000003" hidden="1" customHeight="1">
      <c r="A25" s="25"/>
      <c r="B25" s="25"/>
      <c r="C25" s="25"/>
      <c r="D25" s="25"/>
      <c r="E25" s="25"/>
      <c r="F25" s="195"/>
      <c r="G25" s="195"/>
      <c r="H25" s="195"/>
      <c r="I25" s="195"/>
      <c r="J25" s="25"/>
      <c r="K25" s="25"/>
    </row>
    <row r="26" spans="1:11" ht="40.950000000000003" hidden="1" customHeight="1">
      <c r="A26" s="25"/>
      <c r="B26" s="25"/>
      <c r="C26" s="25"/>
      <c r="D26" s="25"/>
      <c r="E26" s="25"/>
      <c r="F26" s="195"/>
      <c r="G26" s="195"/>
      <c r="H26" s="195"/>
      <c r="I26" s="195"/>
      <c r="J26" s="25"/>
      <c r="K26" s="25"/>
    </row>
    <row r="27" spans="1:11" ht="40.950000000000003"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55" hidden="1" customHeight="1">
      <c r="A29" s="25"/>
      <c r="B29" s="25"/>
      <c r="C29" s="25"/>
      <c r="D29" s="25"/>
      <c r="E29" s="25"/>
      <c r="F29" s="25"/>
      <c r="G29" s="25"/>
      <c r="H29" s="25"/>
      <c r="I29" s="25"/>
      <c r="J29" s="25"/>
      <c r="K29" s="25"/>
    </row>
    <row r="30" spans="1:11" ht="14.55" hidden="1" customHeight="1">
      <c r="A30" s="25"/>
      <c r="B30" s="25"/>
      <c r="C30" s="25"/>
      <c r="D30" s="25"/>
      <c r="E30" s="25"/>
      <c r="F30" s="25"/>
      <c r="G30" s="25"/>
      <c r="H30" s="25"/>
      <c r="I30" s="25"/>
      <c r="J30" s="25"/>
      <c r="K30" s="25"/>
    </row>
    <row r="31" spans="1:11" ht="14.55" hidden="1" customHeight="1">
      <c r="A31" s="25"/>
      <c r="B31" s="25"/>
      <c r="C31" s="25"/>
      <c r="D31" s="25"/>
      <c r="E31" s="25"/>
      <c r="F31" s="25"/>
      <c r="G31" s="25"/>
      <c r="H31" s="25"/>
      <c r="I31" s="25"/>
      <c r="J31" s="25"/>
      <c r="K31" s="25"/>
    </row>
    <row r="32" spans="1:11" ht="14.5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4" hidden="1">
      <c r="A34" s="25"/>
      <c r="B34" s="25"/>
      <c r="C34" s="25"/>
      <c r="D34" s="25"/>
      <c r="E34" s="25"/>
      <c r="F34" s="25"/>
      <c r="G34" s="25"/>
      <c r="H34" s="25"/>
      <c r="I34" s="25"/>
      <c r="J34" s="25"/>
      <c r="K34" s="25"/>
    </row>
    <row r="35" spans="1:11" ht="14.4" hidden="1">
      <c r="A35" s="25"/>
      <c r="B35" s="25"/>
      <c r="C35" s="25"/>
      <c r="D35" s="25"/>
      <c r="E35" s="25"/>
      <c r="F35" s="25"/>
      <c r="G35" s="25"/>
      <c r="H35" s="25"/>
      <c r="I35" s="25"/>
      <c r="J35" s="25"/>
      <c r="K35" s="25"/>
    </row>
    <row r="36" spans="1:11" ht="14.4" hidden="1">
      <c r="A36" s="25"/>
      <c r="B36" s="25"/>
      <c r="C36" s="25"/>
      <c r="D36" s="25"/>
      <c r="E36" s="25"/>
      <c r="F36" s="25"/>
      <c r="G36" s="25"/>
      <c r="H36" s="25"/>
      <c r="I36" s="25"/>
      <c r="J36" s="25"/>
      <c r="K36" s="25"/>
    </row>
    <row r="37" spans="1:11" ht="14.4" hidden="1">
      <c r="A37" s="25"/>
      <c r="B37" s="25"/>
      <c r="C37" s="25"/>
      <c r="D37" s="25"/>
      <c r="E37" s="25"/>
      <c r="F37" s="25"/>
      <c r="G37" s="25"/>
      <c r="H37" s="25"/>
      <c r="I37" s="25"/>
      <c r="J37" s="25"/>
      <c r="K37" s="25"/>
    </row>
    <row r="38" spans="1:11" ht="14.4" hidden="1"/>
    <row r="39" spans="1:11" ht="14.4"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zoomScale="80" zoomScaleNormal="80" workbookViewId="0">
      <selection activeCell="H7" sqref="H7"/>
    </sheetView>
  </sheetViews>
  <sheetFormatPr defaultColWidth="0" defaultRowHeight="14.4" zeroHeight="1"/>
  <cols>
    <col min="1" max="1" width="4.5546875" customWidth="1"/>
    <col min="2" max="2" width="63.21875" customWidth="1"/>
    <col min="3" max="3" width="48.77734375" bestFit="1" customWidth="1"/>
    <col min="4" max="4" width="46.77734375" customWidth="1"/>
    <col min="5" max="8" width="8.77734375" customWidth="1"/>
    <col min="9" max="13" width="8.77734375" hidden="1" customWidth="1"/>
    <col min="14" max="18" width="0" hidden="1" customWidth="1"/>
    <col min="19" max="16384" width="8.77734375" hidden="1"/>
  </cols>
  <sheetData>
    <row r="1" spans="1:14" ht="1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RIDING ARENA at GALTEEMORE FARM</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5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1058</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3841.9178999999999</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1059</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1060</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2" customHeight="1">
      <c r="A13" s="25"/>
      <c r="B13" s="42" t="s">
        <v>39</v>
      </c>
      <c r="C13" s="640" t="s">
        <v>1061</v>
      </c>
      <c r="D13" s="641"/>
      <c r="E13" s="25"/>
      <c r="F13" s="25"/>
      <c r="G13" s="25"/>
      <c r="H13" s="25"/>
      <c r="I13" s="25"/>
      <c r="J13" s="25"/>
      <c r="K13" s="25"/>
      <c r="L13" s="25"/>
      <c r="M13" s="25"/>
      <c r="N13" s="25"/>
    </row>
    <row r="14" spans="1:14" ht="79.2" customHeight="1" thickBot="1">
      <c r="A14" s="25"/>
      <c r="B14" s="36" t="s">
        <v>40</v>
      </c>
      <c r="C14" s="642" t="s">
        <v>1062</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1059</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1063</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2" customHeight="1">
      <c r="A20" s="25"/>
      <c r="B20" s="42" t="s">
        <v>1033</v>
      </c>
      <c r="C20" s="161" t="s">
        <v>1056</v>
      </c>
      <c r="D20" s="162" t="str">
        <f>IF(C20="","Walkover date required ▲","Site walkover data valid until "&amp;TEXT(EDATE(C20,6),"dd/mm/yy"))</f>
        <v>Site walkover data valid until 15/06/26</v>
      </c>
      <c r="E20" s="25"/>
      <c r="F20" s="25"/>
      <c r="G20" s="25"/>
      <c r="H20" s="25"/>
      <c r="I20" s="25"/>
      <c r="J20" s="25"/>
      <c r="K20" s="25"/>
      <c r="L20" s="25"/>
      <c r="M20" s="25"/>
      <c r="N20" s="25"/>
    </row>
    <row r="21" spans="1:14" ht="39.6" customHeight="1" thickBot="1">
      <c r="A21" s="25"/>
      <c r="B21" s="36" t="s">
        <v>1034</v>
      </c>
      <c r="C21" s="560" t="s">
        <v>1055</v>
      </c>
      <c r="D21" s="561"/>
      <c r="E21" s="25"/>
      <c r="F21" s="25"/>
      <c r="G21" s="25"/>
      <c r="H21" s="25"/>
      <c r="I21" s="25"/>
      <c r="J21" s="25"/>
      <c r="K21" s="25"/>
      <c r="L21" s="25"/>
      <c r="M21" s="25"/>
      <c r="N21" s="25"/>
    </row>
    <row r="22" spans="1:14" ht="26.55" customHeight="1" thickBot="1">
      <c r="A22" s="25"/>
      <c r="B22" s="56" t="s">
        <v>42</v>
      </c>
      <c r="C22" s="25"/>
      <c r="D22" s="25"/>
      <c r="E22" s="25"/>
      <c r="F22" s="25"/>
      <c r="G22" s="25"/>
      <c r="H22" s="25"/>
      <c r="I22" s="25"/>
      <c r="J22" s="25"/>
      <c r="K22" s="25"/>
      <c r="L22" s="25"/>
      <c r="M22" s="25"/>
      <c r="N22" s="25"/>
    </row>
    <row r="23" spans="1:14" ht="56.55" customHeight="1" thickBot="1">
      <c r="A23" s="25"/>
      <c r="B23" s="160" t="s">
        <v>1035</v>
      </c>
      <c r="C23" s="558"/>
      <c r="D23" s="559"/>
      <c r="E23" s="25"/>
      <c r="F23" s="25"/>
      <c r="G23" s="25"/>
      <c r="H23" s="25"/>
      <c r="I23" s="25"/>
      <c r="J23" s="25"/>
      <c r="K23" s="25"/>
      <c r="L23" s="25"/>
      <c r="M23" s="25"/>
      <c r="N23" s="25"/>
    </row>
    <row r="24" spans="1:14" ht="14.55" customHeight="1">
      <c r="A24" s="25"/>
      <c r="B24" s="25"/>
      <c r="C24" s="25"/>
      <c r="D24" s="25"/>
      <c r="E24" s="25"/>
      <c r="F24" s="25"/>
      <c r="G24" s="25"/>
      <c r="H24" s="25"/>
      <c r="I24" s="25"/>
      <c r="J24" s="25"/>
      <c r="K24" s="25"/>
      <c r="L24" s="25"/>
      <c r="M24" s="25"/>
      <c r="N24" s="25"/>
    </row>
    <row r="25" spans="1:14" ht="14.5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9" activePane="bottomRight" state="frozen"/>
      <selection pane="topRight" activeCell="C1" sqref="C1"/>
      <selection pane="bottomLeft" activeCell="A8" sqref="A8"/>
      <selection pane="bottomRight" activeCell="E9" sqref="E9"/>
    </sheetView>
  </sheetViews>
  <sheetFormatPr defaultColWidth="8.77734375" defaultRowHeight="14.4" zeroHeight="1"/>
  <cols>
    <col min="1" max="1" width="3.44140625" customWidth="1"/>
    <col min="2" max="2" width="16.44140625" bestFit="1" customWidth="1"/>
    <col min="3" max="3" width="32.21875" bestFit="1" customWidth="1"/>
    <col min="4" max="5" width="89.77734375" customWidth="1"/>
    <col min="6" max="7" width="8.77734375" customWidth="1"/>
    <col min="8" max="16382" width="8.77734375" hidden="1" customWidth="1"/>
    <col min="16383" max="16383" width="8.77734375" style="25" customWidth="1"/>
    <col min="16384" max="16384" width="8.7773437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RIDING ARENA at GALTEEMORE FARM</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Cereal crops</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heetViews>
  <sheetFormatPr defaultColWidth="8.77734375" defaultRowHeight="14.4" zeroHeight="1"/>
  <cols>
    <col min="1" max="1" width="4.5546875" customWidth="1"/>
    <col min="2" max="2" width="14.77734375" customWidth="1"/>
    <col min="3" max="3" width="26.44140625" bestFit="1" customWidth="1"/>
    <col min="4" max="4" width="62.77734375" customWidth="1"/>
    <col min="5" max="5" width="22" customWidth="1"/>
    <col min="6" max="6" width="18.5546875" customWidth="1"/>
    <col min="7" max="7" width="39.77734375" customWidth="1"/>
    <col min="8" max="8" width="62.44140625" customWidth="1"/>
    <col min="9" max="9" width="14.5546875" customWidth="1"/>
    <col min="10" max="10" width="12.77734375" customWidth="1"/>
    <col min="11" max="11" width="11.44140625" customWidth="1"/>
    <col min="12" max="12" width="17.77734375" customWidth="1"/>
    <col min="13" max="14" width="11.44140625" customWidth="1"/>
    <col min="15" max="16" width="27" customWidth="1"/>
    <col min="17" max="18" width="11.44140625" customWidth="1"/>
    <col min="19" max="19" width="2.21875" customWidth="1"/>
    <col min="20" max="20" width="13"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29" width="26.5546875" customWidth="1"/>
    <col min="30" max="30" width="50" customWidth="1"/>
    <col min="31" max="31" width="18.77734375" customWidth="1"/>
    <col min="32" max="32" width="23.77734375" customWidth="1"/>
    <col min="33" max="33" width="16.77734375" customWidth="1"/>
    <col min="34" max="34" width="35.77734375" customWidth="1"/>
    <col min="35" max="35" width="76.21875" customWidth="1"/>
    <col min="36" max="36" width="22.21875" customWidth="1"/>
    <col min="37" max="39" width="22.21875" hidden="1" customWidth="1"/>
    <col min="40" max="40" width="20.4414062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6.5546875" customWidth="1"/>
    <col min="52" max="52" width="14.21875" customWidth="1"/>
    <col min="53" max="53" width="26.5546875" customWidth="1"/>
    <col min="54" max="73" width="26.21875" customWidth="1"/>
    <col min="74" max="74" width="11.5546875" customWidth="1"/>
    <col min="75" max="77" width="8.77734375" customWidth="1"/>
    <col min="78" max="16379" width="8.77734375" hidden="1" customWidth="1"/>
    <col min="16380" max="16383" width="8.777343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0.53439742000000001</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c r="A2" s="25"/>
      <c r="B2" s="80" t="s">
        <v>53</v>
      </c>
      <c r="C2" s="704" t="str">
        <f>IF('2. Site Details'!D4="","Enter site name on 2. Site Details",'2. Site Details'!D4)</f>
        <v>RIDING ARENA at GALTEEMORE FARM</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0.23398616000000003</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c r="A3" s="25"/>
      <c r="B3" s="82" t="s">
        <v>13</v>
      </c>
      <c r="C3" s="706" t="s">
        <v>56</v>
      </c>
      <c r="D3" s="707"/>
      <c r="E3" s="25"/>
      <c r="F3" s="773"/>
      <c r="G3" s="774"/>
      <c r="H3" s="775"/>
      <c r="I3" s="81"/>
      <c r="J3" s="784"/>
      <c r="K3" s="784"/>
      <c r="L3" s="784"/>
      <c r="M3" s="784"/>
      <c r="N3" s="81"/>
      <c r="O3" s="83" t="s">
        <v>57</v>
      </c>
      <c r="P3" s="277">
        <f>IFERROR(L61, "Error ▲")</f>
        <v>0.34835345980956062</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c r="A5" s="85"/>
      <c r="B5" s="25"/>
      <c r="C5" s="25"/>
      <c r="D5" s="25"/>
      <c r="E5" s="25"/>
      <c r="F5" s="773"/>
      <c r="G5" s="774"/>
      <c r="H5" s="775"/>
      <c r="I5" s="81"/>
      <c r="J5" s="784"/>
      <c r="K5" s="784"/>
      <c r="L5" s="784"/>
      <c r="M5" s="784"/>
      <c r="N5" s="81"/>
      <c r="O5" s="86" t="s">
        <v>59</v>
      </c>
      <c r="P5" s="278">
        <f>IFERROR((P1+L61+L89)-L32, "Error ▲")</f>
        <v>0.11436729980956073</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8.8">
      <c r="A11" s="89"/>
      <c r="B11" s="263">
        <v>1</v>
      </c>
      <c r="C11" s="258" t="s">
        <v>199</v>
      </c>
      <c r="D11" s="693" t="s">
        <v>297</v>
      </c>
      <c r="E11" s="694"/>
      <c r="F11" s="713" t="s">
        <v>112</v>
      </c>
      <c r="G11" s="714"/>
      <c r="H11" s="715"/>
      <c r="I11" s="305">
        <v>3841.9178999999999</v>
      </c>
      <c r="J11" s="323">
        <v>2671.9870999999998</v>
      </c>
      <c r="K11" s="307">
        <v>0</v>
      </c>
      <c r="L11" s="408">
        <f>IF(C11="","",IFERROR(IF(I11="","",((I11/10000)*V11*X11)*AD11),"Error ▲"))</f>
        <v>0.76838357999999995</v>
      </c>
      <c r="M11" s="408">
        <f>IF(I11="","",IF(J11+K11&gt;I11,"Area Error ▲",I11-J11-K11))</f>
        <v>1169.9308000000001</v>
      </c>
      <c r="N11" s="409">
        <f>IFERROR(IF(I11="","",IF(M11="Area Error ▲","Area Error ▲",((M11/10000)*V11*X11)*AD11)),"This intervention is not permitted within the SSM ▲")</f>
        <v>0.23398616000000003</v>
      </c>
      <c r="O11" s="67" t="s">
        <v>1057</v>
      </c>
      <c r="P11" s="5"/>
      <c r="Q11" s="25"/>
      <c r="R11" s="741"/>
      <c r="S11" s="25"/>
      <c r="T11" s="787" t="str">
        <f>IF(C11="","",VLOOKUP(D11,'9. All Habitats + Multipliers'!$C$4:$K$102,5,FALSE))</f>
        <v>Low</v>
      </c>
      <c r="U11" s="788"/>
      <c r="V11" s="94">
        <f>IF(T11="","",VLOOKUP(T11,'11. Lists'!$B$47:$D$49,2,FALSE))</f>
        <v>2</v>
      </c>
      <c r="W11" s="184" t="str">
        <f>IF(C11="","",VLOOKUP(D11,'10. Condition and Temporal'!$B$6:$C$103,2,FALSE))</f>
        <v>Condition Assessment N/A</v>
      </c>
      <c r="X11" s="94">
        <f>IF(W11="","",VLOOKUP(W11,'11. Lists'!$F$47:$G$51,2,FALSE))</f>
        <v>1</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0.53439742000000001</v>
      </c>
      <c r="AF11" s="299">
        <f>IF(D11="","",((K11/10000)*V11*X11)*AD11)</f>
        <v>0</v>
      </c>
      <c r="AG11" s="96">
        <f>IF(D11="","",M11)</f>
        <v>1169.9308000000001</v>
      </c>
      <c r="AH11" s="511" t="str">
        <f>IF(T11="","",VLOOKUP(T11,'11. Lists'!$B$47:$D$49,3,FALSE))</f>
        <v>Same distinctiveness or better habitat required</v>
      </c>
      <c r="AI11" s="545" t="str">
        <f>IF(D11="","",VLOOKUP(D11,'10. Condition and Temporal'!$B$6:$L$103,4,FALSE))</f>
        <v>Arable field margins cultivated annually, Arable field margins game bird mix, Arable field margins pollen and nectar, Arable field margins tussocky</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6">
      <c r="A12" s="25"/>
      <c r="B12" s="264">
        <v>2</v>
      </c>
      <c r="C12" s="258"/>
      <c r="D12" s="691"/>
      <c r="E12" s="692"/>
      <c r="F12" s="713"/>
      <c r="G12" s="714"/>
      <c r="H12" s="715"/>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41"/>
      <c r="S12" s="25"/>
      <c r="T12" s="787" t="str">
        <f>IF(C12="","",VLOOKUP(D12,'9. All Habitats + Multipliers'!$C$4:$K$102,5,FALSE))</f>
        <v/>
      </c>
      <c r="U12" s="788"/>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6">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3841.9178999999999</v>
      </c>
      <c r="J32" s="327">
        <f>SUMIFS(J11:J30,D11:D30,"&lt;&gt;"&amp;'11. Lists'!Q10,D11:D30,"&lt;&gt;"&amp;'11. Lists'!Q11,D11:D30,"&lt;&gt;"&amp;'11. Lists'!I4,D11:D30,"&lt;&gt;"&amp;'11. Lists'!I2,D11:D30,"&lt;&gt;"&amp;'11. Lists'!I3)</f>
        <v>2671.9870999999998</v>
      </c>
      <c r="K32" s="328">
        <f>SUMIFS(K11:K30,D11:D30,"&lt;&gt;"&amp;'11. Lists'!Q10,D11:D30,"&lt;&gt;"&amp;'11. Lists'!Q11,D11:D30,"&lt;&gt;"&amp;'11. Lists'!I4,D11:D30,"&lt;&gt;"&amp;'11. Lists'!I2,D11:D30,"&lt;&gt;"&amp;'11. Lists'!I3)</f>
        <v>0</v>
      </c>
      <c r="L32" s="279">
        <f>SUM(L11:L31)</f>
        <v>0.76838357999999995</v>
      </c>
      <c r="M32" s="319">
        <f>SUMIFS(M11:M30,D11:D30,"&lt;&gt;"&amp;'11. Lists'!Q10,D11:D30,"&lt;&gt;"&amp;'11. Lists'!Q11,D11:D30,"&lt;&gt;"&amp;'11. Lists'!I4,D11:D30,"&lt;&gt;"&amp;'11. Lists'!I2,D11:D30,"&lt;&gt;"&amp;'11. Lists'!I3)</f>
        <v>1169.9308000000001</v>
      </c>
      <c r="N32" s="280">
        <f>SUM(N11:N31)</f>
        <v>0.23398616000000003</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2"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1.8"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8.8">
      <c r="B40" s="263">
        <v>1</v>
      </c>
      <c r="C40" s="76" t="s">
        <v>209</v>
      </c>
      <c r="D40" s="73" t="s">
        <v>326</v>
      </c>
      <c r="E40" s="342" t="str">
        <f>IF(D40="","",VLOOKUP(D40,'10. Condition and Temporal'!$B$6:$D$103,3,FALSE))</f>
        <v>N/A - Other</v>
      </c>
      <c r="F40" s="722" t="s">
        <v>386</v>
      </c>
      <c r="G40" s="723"/>
      <c r="H40" s="72" t="s">
        <v>112</v>
      </c>
      <c r="I40" s="724">
        <v>1169.9308000000001</v>
      </c>
      <c r="J40" s="725"/>
      <c r="K40" s="726"/>
      <c r="L40" s="733">
        <f>IF(C40="","",IFERROR(IF(I40="","",((I40/10000)*(V40*X40))*(AH40*AF40)*AD40),"This intervention is not permitted within the SSM ▲"))</f>
        <v>0</v>
      </c>
      <c r="M40" s="697"/>
      <c r="N40" s="734"/>
      <c r="O40" s="2" t="s">
        <v>1057</v>
      </c>
      <c r="P40" s="1"/>
      <c r="Q40" s="106"/>
      <c r="R40" s="741"/>
      <c r="T40" s="787" t="str">
        <f>IF(C40="","",VLOOKUP(D40,'9. All Habitats + Multipliers'!$C$4:$K$102,5,FALSE))</f>
        <v>V.Low</v>
      </c>
      <c r="U40" s="788"/>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6">
      <c r="B41" s="264">
        <v>2</v>
      </c>
      <c r="C41" s="77"/>
      <c r="D41" s="73"/>
      <c r="E41" s="342" t="str">
        <f>IF(D41="","",VLOOKUP(D41,'10. Condition and Temporal'!$B$6:$D$103,3,FALSE))</f>
        <v/>
      </c>
      <c r="F41" s="702"/>
      <c r="G41" s="703"/>
      <c r="H41" s="71"/>
      <c r="I41" s="724"/>
      <c r="J41" s="725"/>
      <c r="K41" s="726"/>
      <c r="L41" s="733" t="str">
        <f t="shared" ref="L41:L59" si="7">IF(C41="","",IFERROR(IF(I41="","",((I41/10000)*(V41*X41))*(AH41*AF41)*AD41),"This intervention is not permitted within the SSM ▲"))</f>
        <v/>
      </c>
      <c r="M41" s="697"/>
      <c r="N41" s="734"/>
      <c r="O41" s="61"/>
      <c r="P41" s="12"/>
      <c r="Q41" s="106"/>
      <c r="R41" s="741"/>
      <c r="T41" s="787" t="str">
        <f>IF(C41="","",VLOOKUP(D41,'9. All Habitats + Multipliers'!$C$4:$K$102,5,FALSE))</f>
        <v/>
      </c>
      <c r="U41" s="788"/>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6">
      <c r="B42" s="264">
        <v>3</v>
      </c>
      <c r="C42" s="77"/>
      <c r="D42" s="73"/>
      <c r="E42" s="342" t="str">
        <f>IF(D42="","",VLOOKUP(D42,'10. Condition and Temporal'!$B$6:$D$103,3,FALSE))</f>
        <v/>
      </c>
      <c r="F42" s="702"/>
      <c r="G42" s="703"/>
      <c r="H42" s="71"/>
      <c r="I42" s="724"/>
      <c r="J42" s="725"/>
      <c r="K42" s="726"/>
      <c r="L42" s="733" t="str">
        <f t="shared" si="7"/>
        <v/>
      </c>
      <c r="M42" s="697"/>
      <c r="N42" s="734"/>
      <c r="O42" s="61"/>
      <c r="P42" s="12"/>
      <c r="Q42" s="106"/>
      <c r="R42" s="741"/>
      <c r="T42" s="787" t="str">
        <f>IF(C42="","",VLOOKUP(D42,'9. All Habitats + Multipliers'!$C$4:$K$102,5,FALSE))</f>
        <v/>
      </c>
      <c r="U42" s="788"/>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6">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c r="B60" s="267" t="s">
        <v>89</v>
      </c>
      <c r="C60" s="97" t="s">
        <v>90</v>
      </c>
      <c r="D60" s="108" t="s">
        <v>91</v>
      </c>
      <c r="E60" s="109" t="s">
        <v>111</v>
      </c>
      <c r="F60" s="818" t="s">
        <v>111</v>
      </c>
      <c r="G60" s="712"/>
      <c r="H60" s="550" t="s">
        <v>112</v>
      </c>
      <c r="I60" s="793">
        <f>O99</f>
        <v>1139.4432000000002</v>
      </c>
      <c r="J60" s="794"/>
      <c r="K60" s="795"/>
      <c r="L60" s="820">
        <f>IF(D60="","",((I60/10000)*(V60*X60))*(AH60*AF60)*AD60)</f>
        <v>0.34835345980956062</v>
      </c>
      <c r="M60" s="821"/>
      <c r="N60" s="822"/>
      <c r="O60" s="38" t="s">
        <v>1057</v>
      </c>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735">
        <f>SUMIFS(I40:I59,D40:D59,"&lt;&gt;"&amp;'11. Lists'!Q10,D40:D59,"&lt;&gt;"&amp;'11. Lists'!Q11,D40:D59,"&lt;&gt;"&amp;'11. Lists'!I4,D40:D59,"&lt;&gt;"&amp;'11. Lists'!I2,D40:D59,"&lt;&gt;"&amp;'11. Lists'!I3)</f>
        <v>1169.9308000000001</v>
      </c>
      <c r="J61" s="736"/>
      <c r="K61" s="737"/>
      <c r="L61" s="738">
        <f>SUM(L40:N60)</f>
        <v>0.34835345980956062</v>
      </c>
      <c r="M61" s="739"/>
      <c r="N61" s="740"/>
      <c r="R61" s="741"/>
    </row>
    <row r="62" spans="2:53" s="25" customFormat="1" ht="1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2309.3740000000003</v>
      </c>
      <c r="R63" s="741"/>
      <c r="BA63" s="50" t="s">
        <v>114</v>
      </c>
    </row>
    <row r="64" spans="2:53" s="25" customFormat="1" ht="21">
      <c r="B64" s="57" t="s">
        <v>115</v>
      </c>
      <c r="D64" s="88"/>
      <c r="H64" s="26"/>
      <c r="R64" s="741"/>
      <c r="BA64" s="50" t="s">
        <v>116</v>
      </c>
    </row>
    <row r="65" spans="1:76" s="25" customFormat="1" ht="15" thickBot="1">
      <c r="A65" s="89"/>
      <c r="R65" s="741" t="s">
        <v>52</v>
      </c>
    </row>
    <row r="66" spans="1:76" s="25" customFormat="1" ht="16.2"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6">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6">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6">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6">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6">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6">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6">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6">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6">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6">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6">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6">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6">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6">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6">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6">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6">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6">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6">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2"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49999999999997"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 customHeight="1">
      <c r="B95" s="814" t="s">
        <v>183</v>
      </c>
      <c r="C95" s="815"/>
      <c r="D95" s="155">
        <v>0</v>
      </c>
      <c r="E95" s="838">
        <v>0</v>
      </c>
      <c r="F95" s="839"/>
      <c r="G95" s="680">
        <v>0</v>
      </c>
      <c r="H95" s="681"/>
      <c r="I95" s="835">
        <f>D95*'11. Lists'!P47</f>
        <v>0</v>
      </c>
      <c r="J95" s="830"/>
      <c r="K95" s="831"/>
      <c r="L95" s="829">
        <f>IF(E95&gt;D95, "Error ▲", E95*'11. Lists'!P47)</f>
        <v>0</v>
      </c>
      <c r="M95" s="830"/>
      <c r="N95" s="831"/>
      <c r="O95" s="829">
        <f>G95*'11. Lists'!P47</f>
        <v>0</v>
      </c>
      <c r="P95" s="845"/>
      <c r="R95" s="741"/>
    </row>
    <row r="96" spans="1:76" s="25" customFormat="1" ht="24.6" customHeight="1">
      <c r="B96" s="671" t="s">
        <v>184</v>
      </c>
      <c r="C96" s="672"/>
      <c r="D96" s="213">
        <v>0</v>
      </c>
      <c r="E96" s="673">
        <v>0</v>
      </c>
      <c r="F96" s="674"/>
      <c r="G96" s="682">
        <v>7</v>
      </c>
      <c r="H96" s="683"/>
      <c r="I96" s="675">
        <f>D96*'11. Lists'!P48</f>
        <v>0</v>
      </c>
      <c r="J96" s="676"/>
      <c r="K96" s="677"/>
      <c r="L96" s="678">
        <f>IF(E96&gt;D96,"Error ▲",(E96*'11. Lists'!P48))</f>
        <v>0</v>
      </c>
      <c r="M96" s="676"/>
      <c r="N96" s="677"/>
      <c r="O96" s="678">
        <f>G96*'11. Lists'!P48</f>
        <v>1139.4432000000002</v>
      </c>
      <c r="P96" s="846"/>
      <c r="R96" s="741"/>
    </row>
    <row r="97" spans="1:18" s="25" customFormat="1" ht="24.6" customHeight="1">
      <c r="B97" s="671" t="s">
        <v>185</v>
      </c>
      <c r="C97" s="672"/>
      <c r="D97" s="213">
        <v>0</v>
      </c>
      <c r="E97" s="673">
        <v>0</v>
      </c>
      <c r="F97" s="674"/>
      <c r="G97" s="682">
        <v>0</v>
      </c>
      <c r="H97" s="683"/>
      <c r="I97" s="675">
        <f>D97*'11. Lists'!P49</f>
        <v>0</v>
      </c>
      <c r="J97" s="676"/>
      <c r="K97" s="677"/>
      <c r="L97" s="678">
        <f>IF(E97&gt;D97,"Error ▲",(E97*'11. Lists'!P49))</f>
        <v>0</v>
      </c>
      <c r="M97" s="676"/>
      <c r="N97" s="677"/>
      <c r="O97" s="678">
        <f>G97*'11. Lists'!P49</f>
        <v>0</v>
      </c>
      <c r="P97" s="846"/>
      <c r="R97" s="741"/>
    </row>
    <row r="98" spans="1:18" s="25" customFormat="1" ht="24.6" customHeight="1">
      <c r="B98" s="671" t="s">
        <v>186</v>
      </c>
      <c r="C98" s="672"/>
      <c r="D98" s="213">
        <v>0</v>
      </c>
      <c r="E98" s="673">
        <v>0</v>
      </c>
      <c r="F98" s="674"/>
      <c r="G98" s="682">
        <v>0</v>
      </c>
      <c r="H98" s="683"/>
      <c r="I98" s="675">
        <f>D98*'11. Lists'!P50</f>
        <v>0</v>
      </c>
      <c r="J98" s="676"/>
      <c r="K98" s="677"/>
      <c r="L98" s="678">
        <f>IF(E98&gt;D98,"Error ▲",(E98*'11. Lists'!P50))</f>
        <v>0</v>
      </c>
      <c r="M98" s="676"/>
      <c r="N98" s="677"/>
      <c r="O98" s="678">
        <f>G98*'11. Lists'!P50</f>
        <v>0</v>
      </c>
      <c r="P98" s="846"/>
      <c r="R98" s="741"/>
    </row>
    <row r="99" spans="1:18" s="25" customFormat="1" ht="24.6" customHeight="1" thickBot="1">
      <c r="B99" s="647" t="s">
        <v>187</v>
      </c>
      <c r="C99" s="813"/>
      <c r="D99" s="285">
        <f>SUM(D95:D98)</f>
        <v>0</v>
      </c>
      <c r="E99" s="816">
        <f>SUM(E95:F98)</f>
        <v>0</v>
      </c>
      <c r="F99" s="817"/>
      <c r="G99" s="816">
        <f>SUM(G95:H98)</f>
        <v>7</v>
      </c>
      <c r="H99" s="844"/>
      <c r="I99" s="817">
        <f>SUM(I95:K98)</f>
        <v>0</v>
      </c>
      <c r="J99" s="828"/>
      <c r="K99" s="828"/>
      <c r="L99" s="828">
        <f>SUM(L95:N98)</f>
        <v>0</v>
      </c>
      <c r="M99" s="828"/>
      <c r="N99" s="828"/>
      <c r="O99" s="816">
        <f>SUM(O95:P98)</f>
        <v>1139.4432000000002</v>
      </c>
      <c r="P99" s="844"/>
      <c r="R99" s="741"/>
    </row>
    <row r="100" spans="1:18" s="25" customFormat="1" ht="19.2"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 thickBot="1">
      <c r="R107" s="741"/>
    </row>
    <row r="108" spans="1:18" s="25" customFormat="1" ht="36.6"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5" thickBot="1">
      <c r="R112" s="741"/>
    </row>
    <row r="113" spans="2:18" s="25" customFormat="1" ht="36.6" customHeight="1">
      <c r="B113" s="742" t="s">
        <v>193</v>
      </c>
      <c r="C113" s="743"/>
      <c r="D113" s="743"/>
      <c r="E113" s="212" t="s">
        <v>194</v>
      </c>
      <c r="F113" s="212" t="s">
        <v>195</v>
      </c>
      <c r="G113" s="212" t="s">
        <v>196</v>
      </c>
      <c r="H113" s="212" t="s">
        <v>197</v>
      </c>
      <c r="I113" s="120" t="s">
        <v>198</v>
      </c>
      <c r="J113" s="430"/>
      <c r="R113" s="741"/>
    </row>
    <row r="114" spans="2:18" s="25" customFormat="1" ht="15.6" customHeight="1">
      <c r="B114" s="744" t="s">
        <v>199</v>
      </c>
      <c r="C114" s="745"/>
      <c r="D114" s="746"/>
      <c r="E114" s="121" t="s">
        <v>200</v>
      </c>
      <c r="F114" s="122">
        <f>SUMIFS($L$11:$L$30,$C$11:$C$30,$B114,$T$11:$T$30,$E114)</f>
        <v>0.76838357999999995</v>
      </c>
      <c r="G114" s="122">
        <f>SUMIFS($L$40:$L$59,$C$40:$C$59,$B114,$T$40:$T$59,$E114)+SUMIFS($L$68:$L$87,AY68:AY87,B114,$AG$68:$AG$87,E114)+SUMIFS($AE$11:$AE$31,$C$11:$C$31,B114,$T$11:$T$31,E114)</f>
        <v>0.53439742000000001</v>
      </c>
      <c r="H114" s="122">
        <f>G114-F114</f>
        <v>-0.23398615999999994</v>
      </c>
      <c r="I114" s="123" t="s">
        <v>201</v>
      </c>
      <c r="J114" s="157"/>
      <c r="R114" s="741"/>
    </row>
    <row r="115" spans="2:18" s="25" customFormat="1" ht="15.6"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6" customHeight="1">
      <c r="B116" s="744" t="s">
        <v>203</v>
      </c>
      <c r="C116" s="745"/>
      <c r="D116" s="74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41"/>
    </row>
    <row r="117" spans="2:18" s="25" customFormat="1" ht="15.6"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6"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6"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6"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6"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6"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6"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6"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6"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6"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6"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6" customHeight="1">
      <c r="B128" s="744" t="s">
        <v>209</v>
      </c>
      <c r="C128" s="745"/>
      <c r="D128" s="74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1"/>
    </row>
    <row r="129" spans="2:18" s="25" customFormat="1" ht="15.6"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6"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6" customHeight="1">
      <c r="B131" s="747"/>
      <c r="C131" s="748"/>
      <c r="D131" s="74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41"/>
    </row>
    <row r="132" spans="2:18" s="25" customFormat="1" ht="15.6"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6"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6"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1" customHeight="1" thickBot="1">
      <c r="B135" s="764"/>
      <c r="C135" s="765"/>
      <c r="D135" s="766"/>
      <c r="E135" s="214" t="s">
        <v>202</v>
      </c>
      <c r="F135" s="215">
        <f>SUMIFS($L$11:$L$31,$C$11:$C$31,$B134,$T$11:$T$31,$E135)</f>
        <v>0</v>
      </c>
      <c r="G135" s="215">
        <f>SUMIFS($L$40:$L$60,$C$40:$C$60,$B134,$T$40:$T$60,$E135)+SUMIFS($L$68:$L$88,$C$68:$C$88,B134,$AG$68:$AG$88,E135)+SUMIFS($AE$11:$AE$31,$C$11:$C$31,B134,$T$11:$T$31,E135)</f>
        <v>0.34835345980956062</v>
      </c>
      <c r="H135" s="215">
        <f>G135-F135</f>
        <v>0.34835345980956062</v>
      </c>
      <c r="I135" s="502" t="str">
        <f>IF(F135=0,"N/A",IF(H135&lt;0,"No ▲","Yes ✓"))</f>
        <v>N/A</v>
      </c>
      <c r="J135" s="157">
        <f t="shared" ref="J135:J140" si="55">IF(I135="No ▲",1,0)</f>
        <v>0</v>
      </c>
      <c r="R135" s="741"/>
    </row>
    <row r="136" spans="2:18" s="25" customFormat="1" ht="15.6" customHeight="1" thickBot="1">
      <c r="J136" s="157"/>
      <c r="M136" s="26"/>
      <c r="R136" s="741"/>
    </row>
    <row r="137" spans="2:18" s="25" customFormat="1" ht="36">
      <c r="B137" s="761" t="s">
        <v>194</v>
      </c>
      <c r="C137" s="762"/>
      <c r="D137" s="762"/>
      <c r="E137" s="763"/>
      <c r="F137" s="126" t="s">
        <v>195</v>
      </c>
      <c r="G137" s="126" t="s">
        <v>196</v>
      </c>
      <c r="H137" s="126" t="s">
        <v>197</v>
      </c>
      <c r="I137" s="127" t="s">
        <v>198</v>
      </c>
      <c r="J137" s="157"/>
      <c r="M137" s="26"/>
      <c r="R137" s="741"/>
    </row>
    <row r="138" spans="2:18" s="25" customFormat="1" ht="30.6" customHeight="1">
      <c r="B138" s="753" t="s">
        <v>212</v>
      </c>
      <c r="C138" s="754"/>
      <c r="D138" s="754"/>
      <c r="E138" s="755"/>
      <c r="F138" s="122">
        <f>SUMIFS($L$11:$L$31,$T$11:$T$31,"Medium")</f>
        <v>0</v>
      </c>
      <c r="G138" s="156">
        <f>IF(L61+L89+P1=0,0,SUMIFS($L$40:$L$60,$T$40:$T$60,"Medium")+SUMIFS($L$68:$L$87,$AG$68:$AG$87,"Medium")+SUMIFS($AE$11:$AE$31,$T$11:$T$31,"Medium"))</f>
        <v>0.34835345980956062</v>
      </c>
      <c r="H138" s="122">
        <f>IFERROR(G138-F138,"")</f>
        <v>0.34835345980956062</v>
      </c>
      <c r="I138" s="329" t="str">
        <f>IF(G138="","",IF(H138&gt;=0,"Yes ✓","No ▲"))</f>
        <v>Yes ✓</v>
      </c>
      <c r="J138" s="157">
        <f t="shared" si="55"/>
        <v>0</v>
      </c>
      <c r="R138" s="741" t="s">
        <v>52</v>
      </c>
    </row>
    <row r="139" spans="2:18" s="25" customFormat="1" ht="30.6" customHeight="1">
      <c r="B139" s="753" t="s">
        <v>213</v>
      </c>
      <c r="C139" s="754"/>
      <c r="D139" s="754"/>
      <c r="E139" s="755"/>
      <c r="F139" s="122">
        <f>SUMIFS($L$11:$L$31,$T$11:$T$31,"Low")</f>
        <v>0.76838357999999995</v>
      </c>
      <c r="G139" s="156">
        <f>IF(L61+L89+P1=0,0,SUMIFS($L$40:$L$60,$T$40:$T$60,"Low")+SUMIFS($L$68:$L$88,$AG$68:$AG$88,"Low")+SUMIFS($AE$11:$AE$31,$T$11:$T$31,"Low"))</f>
        <v>0.53439742000000001</v>
      </c>
      <c r="H139" s="122">
        <f>IFERROR(G139-F139,"")</f>
        <v>-0.23398615999999994</v>
      </c>
      <c r="I139" s="329" t="str">
        <f>IF($I$142&gt;=0,"Yes ✓","No ▲")</f>
        <v>Yes ✓</v>
      </c>
      <c r="J139" s="157">
        <f t="shared" si="55"/>
        <v>0</v>
      </c>
      <c r="R139" s="741"/>
    </row>
    <row r="140" spans="2:18" s="25" customFormat="1" ht="41.25" customHeight="1" thickBot="1">
      <c r="B140" s="756" t="s">
        <v>214</v>
      </c>
      <c r="C140" s="757"/>
      <c r="D140" s="757"/>
      <c r="E140" s="758"/>
      <c r="F140" s="750">
        <f>IFERROR(H138+H139,"")</f>
        <v>0.11436729980956067</v>
      </c>
      <c r="G140" s="751"/>
      <c r="H140" s="752"/>
      <c r="I140" s="330" t="str">
        <f>IF(F140="","",IF(F140&gt;=0,"Yes ✓","No ▲"))</f>
        <v>Yes ✓</v>
      </c>
      <c r="J140" s="157">
        <f t="shared" si="55"/>
        <v>0</v>
      </c>
      <c r="R140" s="741"/>
    </row>
    <row r="141" spans="2:18" s="25" customFormat="1">
      <c r="R141" s="741"/>
    </row>
    <row r="142" spans="2:18" s="25" customFormat="1">
      <c r="I142" s="434">
        <f>IF($H$138&gt;0,($H$139+$H$138),$H$139)</f>
        <v>0.11436729980956067</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abSelected="1" zoomScale="80" zoomScaleNormal="80" workbookViewId="0"/>
  </sheetViews>
  <sheetFormatPr defaultColWidth="0" defaultRowHeight="14.4" zeroHeight="1"/>
  <cols>
    <col min="1" max="1" width="4.5546875" customWidth="1"/>
    <col min="2" max="2" width="14.77734375" customWidth="1"/>
    <col min="3" max="3" width="24.44140625" bestFit="1" customWidth="1"/>
    <col min="4" max="4" width="40.21875" customWidth="1"/>
    <col min="5" max="5" width="27" customWidth="1"/>
    <col min="6" max="6" width="18.5546875" customWidth="1"/>
    <col min="7" max="7" width="39.77734375" customWidth="1"/>
    <col min="8" max="8" width="49.21875" bestFit="1"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7773437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2"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65.77734375" bestFit="1" customWidth="1"/>
    <col min="35" max="35" width="207" bestFit="1" customWidth="1"/>
    <col min="36" max="36" width="23.5546875" customWidth="1"/>
    <col min="37" max="37" width="23.5546875" hidden="1" customWidth="1"/>
    <col min="38" max="38" width="16.77734375" hidden="1" customWidth="1"/>
    <col min="39" max="39" width="13.21875" hidden="1" customWidth="1"/>
    <col min="40" max="40" width="12.21875"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23.21875" bestFit="1" customWidth="1"/>
    <col min="50" max="50" width="68.21875" customWidth="1"/>
    <col min="51" max="51" width="23.21875" customWidth="1"/>
    <col min="52" max="52" width="24.44140625" customWidth="1"/>
    <col min="53" max="53" width="18.77734375" customWidth="1"/>
    <col min="54" max="73" width="31.77734375" customWidth="1"/>
    <col min="74" max="74" width="15.5546875" customWidth="1"/>
    <col min="75" max="80" width="8.77734375" customWidth="1"/>
    <col min="81" max="16384" width="8.7773437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95" customHeight="1">
      <c r="B2" s="80" t="s">
        <v>53</v>
      </c>
      <c r="C2" s="704" t="str">
        <f>IF('2. Site Details'!D4="","Enter site name on 2. Site Details",'2. Site Details'!D4)</f>
        <v>RIDING ARENA at GALTEEMORE FARM</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95"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95" customHeight="1">
      <c r="B4" s="84"/>
      <c r="C4" s="84"/>
      <c r="D4" s="84"/>
      <c r="F4" s="773"/>
      <c r="G4" s="774"/>
      <c r="H4" s="775"/>
      <c r="I4" s="52"/>
      <c r="J4" s="784"/>
      <c r="K4" s="784"/>
      <c r="L4" s="784"/>
      <c r="M4" s="784"/>
      <c r="N4" s="81"/>
      <c r="O4" s="83" t="s">
        <v>58</v>
      </c>
      <c r="P4" s="277">
        <f>IFERROR(L86, "Error ▲")</f>
        <v>0</v>
      </c>
      <c r="R4" s="741"/>
      <c r="T4" s="26"/>
    </row>
    <row r="5" spans="1:35" s="25" customFormat="1" ht="19.95" customHeight="1" thickBot="1">
      <c r="A5" s="85"/>
      <c r="F5" s="773"/>
      <c r="G5" s="774"/>
      <c r="H5" s="775"/>
      <c r="I5" s="52"/>
      <c r="J5" s="784"/>
      <c r="K5" s="784"/>
      <c r="L5" s="784"/>
      <c r="M5" s="784"/>
      <c r="N5" s="81"/>
      <c r="O5" s="86" t="s">
        <v>59</v>
      </c>
      <c r="P5" s="278">
        <f>IFERROR(P1+L59+L86-L31, "Error ▲")</f>
        <v>0</v>
      </c>
      <c r="R5" s="741"/>
      <c r="T5" s="26"/>
    </row>
    <row r="6" spans="1:35" s="25" customFormat="1" ht="13.2" customHeight="1" thickBot="1">
      <c r="A6" s="85"/>
      <c r="F6" s="776"/>
      <c r="G6" s="777"/>
      <c r="H6" s="778"/>
      <c r="I6" s="52"/>
      <c r="J6" s="52"/>
      <c r="K6" s="52"/>
      <c r="L6" s="52"/>
      <c r="M6" s="52"/>
      <c r="N6" s="52"/>
      <c r="O6" s="87"/>
      <c r="P6" s="87"/>
      <c r="R6" s="741"/>
      <c r="T6" s="26"/>
    </row>
    <row r="7" spans="1:35" s="25" customFormat="1" ht="19.2" customHeight="1">
      <c r="B7" s="57" t="s">
        <v>60</v>
      </c>
      <c r="D7" s="88"/>
      <c r="H7" s="26"/>
      <c r="K7" s="26"/>
      <c r="L7" s="30"/>
      <c r="M7" s="30"/>
      <c r="N7" s="30"/>
      <c r="R7" s="741"/>
      <c r="T7" s="26"/>
    </row>
    <row r="8" spans="1:35" s="25" customFormat="1" ht="10.95" customHeight="1" thickBot="1">
      <c r="A8" s="89"/>
      <c r="R8" s="741"/>
    </row>
    <row r="9" spans="1:35" s="25" customFormat="1" ht="29.5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549999999999997"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28.8">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2"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1.8"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8.8">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735">
        <f>SUM(I39:K58)</f>
        <v>0</v>
      </c>
      <c r="J59" s="736"/>
      <c r="K59" s="737"/>
      <c r="L59" s="870">
        <f>SUM(L39:N58)</f>
        <v>0</v>
      </c>
      <c r="M59" s="871"/>
      <c r="N59" s="872"/>
      <c r="R59" s="741"/>
    </row>
    <row r="60" spans="1:73" s="25" customFormat="1" ht="1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 thickBot="1">
      <c r="A63" s="912"/>
      <c r="R63" s="741"/>
    </row>
    <row r="64" spans="1:73" s="25" customFormat="1" ht="16.2"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6">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6">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6">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6">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6">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6">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6">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6">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6">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6">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6">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6">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6">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6">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6">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6">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6">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6">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2"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2"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 thickBot="1">
      <c r="R96" s="741"/>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5" thickBot="1">
      <c r="E114" s="457">
        <f ca="1">G108+G112</f>
        <v>0</v>
      </c>
      <c r="F114" s="434">
        <f ca="1">IF(G108&lt;0,0,($G$108+$G$112+$G$113))</f>
        <v>0</v>
      </c>
      <c r="I114" s="430"/>
      <c r="R114" s="741"/>
    </row>
    <row r="115" spans="2:18" s="25" customFormat="1" ht="24.75" customHeight="1">
      <c r="B115" s="865" t="s">
        <v>241</v>
      </c>
      <c r="C115" s="638"/>
      <c r="D115" s="638"/>
      <c r="E115" s="63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36"/>
      <c r="D117" s="636"/>
      <c r="E117" s="63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4" zeroHeight="1"/>
  <cols>
    <col min="1" max="1" width="4.5546875" customWidth="1"/>
    <col min="2" max="2" width="14.77734375" customWidth="1"/>
    <col min="3" max="3" width="24.44140625" customWidth="1"/>
    <col min="4" max="4" width="40.21875" customWidth="1"/>
    <col min="5" max="5" width="27" customWidth="1"/>
    <col min="6" max="6" width="20.5546875" customWidth="1"/>
    <col min="7" max="7" width="33.21875" customWidth="1"/>
    <col min="8" max="8" width="35.21875" customWidth="1"/>
    <col min="9" max="9" width="14.5546875" customWidth="1"/>
    <col min="10" max="10" width="12.77734375" customWidth="1"/>
    <col min="11" max="11" width="11.44140625" customWidth="1"/>
    <col min="12" max="12" width="13" customWidth="1"/>
    <col min="13" max="14" width="11.44140625" customWidth="1"/>
    <col min="15" max="16" width="27" customWidth="1"/>
    <col min="17" max="18" width="11.44140625" customWidth="1"/>
    <col min="19" max="19" width="7.21875" customWidth="1"/>
    <col min="20" max="20" width="14.44140625" customWidth="1"/>
    <col min="21" max="21" width="14.77734375" customWidth="1"/>
    <col min="22" max="22" width="20.77734375" bestFit="1" customWidth="1"/>
    <col min="23" max="23" width="23.77734375" customWidth="1"/>
    <col min="24" max="24" width="16.77734375" bestFit="1" customWidth="1"/>
    <col min="25" max="25" width="14" hidden="1" customWidth="1"/>
    <col min="26" max="26" width="21.21875" hidden="1" customWidth="1"/>
    <col min="27" max="27" width="14" hidden="1" customWidth="1"/>
    <col min="28" max="28" width="33.77734375" customWidth="1"/>
    <col min="29" max="30" width="32.77734375" customWidth="1"/>
    <col min="31" max="31" width="18.77734375" customWidth="1"/>
    <col min="32" max="32" width="23.77734375" customWidth="1"/>
    <col min="33" max="33" width="16.77734375" customWidth="1"/>
    <col min="34" max="34" width="35.77734375" customWidth="1"/>
    <col min="35" max="35" width="76.21875" customWidth="1"/>
    <col min="36" max="36" width="23.5546875" style="469" customWidth="1"/>
    <col min="37" max="37" width="4.44140625" style="469" hidden="1" customWidth="1"/>
    <col min="38" max="38" width="5.21875" style="469" hidden="1" customWidth="1"/>
    <col min="39" max="39" width="6.77734375" style="469" hidden="1" customWidth="1"/>
    <col min="40" max="40" width="12.21875" style="469" customWidth="1"/>
    <col min="41" max="41" width="34.21875" bestFit="1" customWidth="1"/>
    <col min="42" max="42" width="19.77734375" bestFit="1" customWidth="1"/>
    <col min="43" max="43" width="16.21875" bestFit="1" customWidth="1"/>
    <col min="44" max="47" width="27.21875" customWidth="1"/>
    <col min="48" max="48" width="21.21875" bestFit="1" customWidth="1"/>
    <col min="49" max="49" width="37.5546875" customWidth="1"/>
    <col min="50" max="50" width="68.21875" customWidth="1"/>
    <col min="51" max="51" width="26.5546875" customWidth="1"/>
    <col min="52" max="52" width="24.44140625" customWidth="1"/>
    <col min="53" max="81" width="8.77734375" customWidth="1"/>
    <col min="82" max="16384" width="8.7773437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95" customHeight="1">
      <c r="B2" s="80" t="s">
        <v>53</v>
      </c>
      <c r="C2" s="704" t="str">
        <f>IF('2. Site Details'!D4="","Enter site name on 2. Site Details",'2. Site Details'!D4)</f>
        <v>RIDING ARENA at GALTEEMORE FARM</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95"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95"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95"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2"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2" customHeight="1">
      <c r="B7" s="57" t="s">
        <v>60</v>
      </c>
      <c r="D7" s="88"/>
      <c r="H7" s="26"/>
      <c r="K7" s="26"/>
      <c r="L7" s="496"/>
      <c r="M7" s="30"/>
      <c r="N7" s="30"/>
      <c r="R7" s="741"/>
      <c r="T7" s="26"/>
      <c r="AJ7" s="157"/>
      <c r="AK7" s="157"/>
      <c r="AL7" s="157"/>
      <c r="AM7" s="157"/>
      <c r="AN7" s="157"/>
      <c r="AR7" s="157"/>
    </row>
    <row r="8" spans="1:44" s="25" customFormat="1" ht="10.95" customHeight="1" thickBot="1">
      <c r="A8" s="89"/>
      <c r="R8" s="741"/>
      <c r="AJ8" s="157"/>
      <c r="AK8" s="157"/>
      <c r="AL8" s="157"/>
      <c r="AM8" s="157"/>
      <c r="AN8" s="157"/>
      <c r="AR8" s="157"/>
    </row>
    <row r="9" spans="1:44" s="25" customFormat="1" ht="29.5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1.8"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6">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2"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1.8"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6">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 thickBot="1">
      <c r="A63" s="912"/>
      <c r="R63" s="741"/>
      <c r="AJ63" s="157"/>
      <c r="AK63" s="157"/>
      <c r="AL63" s="157"/>
      <c r="AM63" s="157"/>
      <c r="AN63" s="157"/>
      <c r="BA63" s="972" t="s">
        <v>129</v>
      </c>
    </row>
    <row r="64" spans="1:73" s="25" customFormat="1" ht="16.2"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6">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6">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6">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6">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6">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6">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6">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2"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2"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 thickBot="1">
      <c r="R96" s="741"/>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
      <c r="C108" s="704" t="s">
        <v>259</v>
      </c>
      <c r="D108" s="932"/>
      <c r="E108" s="932"/>
      <c r="F108" s="932"/>
      <c r="G108" s="437">
        <f ca="1">$H$105</f>
        <v>0</v>
      </c>
      <c r="H108" s="431"/>
      <c r="J108" s="430"/>
      <c r="R108" s="741"/>
      <c r="AJ108" s="157"/>
      <c r="AK108" s="157"/>
      <c r="AL108" s="157"/>
      <c r="AM108" s="157"/>
      <c r="AN108" s="157"/>
    </row>
    <row r="109" spans="3:40" s="25" customFormat="1" ht="18.600000000000001" thickBot="1">
      <c r="C109" s="858" t="s">
        <v>260</v>
      </c>
      <c r="D109" s="636"/>
      <c r="E109" s="636"/>
      <c r="F109" s="63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13" zoomScale="80" zoomScaleNormal="80" workbookViewId="0"/>
  </sheetViews>
  <sheetFormatPr defaultColWidth="0" defaultRowHeight="15.6" zeroHeight="1"/>
  <cols>
    <col min="1" max="1" width="14.21875" customWidth="1"/>
    <col min="2" max="2" width="30.5546875" customWidth="1"/>
    <col min="3" max="3" width="45.21875" customWidth="1"/>
    <col min="4" max="4" width="76.44140625" customWidth="1"/>
    <col min="5" max="5" width="13" bestFit="1" customWidth="1"/>
    <col min="6" max="6" width="19.5546875" style="495" customWidth="1"/>
    <col min="7" max="7" width="29.21875" hidden="1" customWidth="1"/>
    <col min="8" max="9" width="10.77734375" hidden="1" customWidth="1"/>
    <col min="10" max="10" width="15" hidden="1" customWidth="1"/>
    <col min="11" max="11" width="10.21875" hidden="1" customWidth="1"/>
    <col min="12" max="16" width="8.77734375" hidden="1" customWidth="1"/>
    <col min="17" max="17" width="11.5546875" hidden="1" customWidth="1"/>
    <col min="18" max="18" width="8.77734375" hidden="1" customWidth="1"/>
    <col min="19" max="19" width="11.21875" hidden="1" customWidth="1"/>
    <col min="20" max="24" width="8.77734375" hidden="1" customWidth="1"/>
    <col min="25" max="32" width="0" hidden="1" customWidth="1"/>
    <col min="33" max="16384" width="8.77734375" hidden="1"/>
  </cols>
  <sheetData>
    <row r="1" spans="1:24" ht="16.2"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RIDING ARENA at GALTEEMORE FARM</v>
      </c>
      <c r="E2" s="639"/>
      <c r="F2" s="497"/>
      <c r="G2" s="52"/>
      <c r="H2" s="52"/>
      <c r="I2" s="52"/>
      <c r="J2" s="52"/>
      <c r="K2" s="52"/>
      <c r="L2" s="52"/>
      <c r="M2" s="52"/>
      <c r="N2" s="52"/>
      <c r="O2" s="52"/>
      <c r="P2" s="52"/>
      <c r="Q2" s="52"/>
      <c r="R2" s="52"/>
      <c r="S2" s="52"/>
      <c r="T2" s="52"/>
      <c r="U2" s="52"/>
      <c r="V2" s="52"/>
      <c r="W2" s="52"/>
      <c r="X2" s="25"/>
    </row>
    <row r="3" spans="1:24" ht="24.6" customHeight="1" thickBot="1">
      <c r="A3" s="25"/>
      <c r="B3" s="644" t="s">
        <v>13</v>
      </c>
      <c r="C3" s="645"/>
      <c r="D3" s="636" t="s">
        <v>261</v>
      </c>
      <c r="E3" s="637"/>
      <c r="F3" s="491"/>
      <c r="G3" s="52"/>
      <c r="H3" s="985"/>
      <c r="I3" s="985"/>
      <c r="J3" s="985"/>
      <c r="K3" s="985"/>
      <c r="L3" s="985"/>
      <c r="M3" s="985"/>
      <c r="N3" s="985"/>
      <c r="O3" s="985"/>
      <c r="P3" s="52"/>
      <c r="Q3" s="52"/>
      <c r="R3" s="52"/>
      <c r="S3" s="52"/>
      <c r="T3" s="52"/>
      <c r="U3" s="52"/>
      <c r="V3" s="52"/>
      <c r="W3" s="52"/>
      <c r="X3" s="25"/>
    </row>
    <row r="4" spans="1:24" ht="34.200000000000003"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21"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21" t="s">
        <v>263</v>
      </c>
      <c r="C7" s="622"/>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21"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f>IF('5. Area Habitats'!L32=0,"Zero Units Baseline",'5. Area Habitats'!L32)</f>
        <v>0.76838357999999995</v>
      </c>
      <c r="E11" s="485"/>
      <c r="F11" s="491">
        <f>('2. Site Details'!$D$13/100)*$D$11</f>
        <v>7.6838357999999995E-2</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0.88275087980956068</v>
      </c>
      <c r="E15" s="485"/>
      <c r="F15" s="492">
        <f>D11+F11</f>
        <v>0.84522193799999989</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0.11436729980956073</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42" t="s">
        <v>273</v>
      </c>
      <c r="C23" s="529" t="s">
        <v>1046</v>
      </c>
      <c r="D23" s="538">
        <f>IF(D11="Zero Units Baseline","% target not appropriate",D19/D11)</f>
        <v>0.14884141565018963</v>
      </c>
      <c r="E23" s="539" t="str" cm="1">
        <f t="array" ref="E23">_xlfn.IFS(D23&gt;=F19,"✓",D23&lt;0,"▲", D23&lt;F19,"⚠")</f>
        <v>✓</v>
      </c>
      <c r="F23" s="491">
        <f>$D$23*100</f>
        <v>14.884141565018963</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99999999999999"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5" customHeight="1" thickBot="1">
      <c r="A36" s="25"/>
      <c r="B36" s="382" t="s">
        <v>267</v>
      </c>
      <c r="C36" s="51">
        <f>IF(D11="Zero Units Baseline",0,D11)</f>
        <v>0.76838357999999995</v>
      </c>
      <c r="D36" s="51">
        <f>D15</f>
        <v>0.88275087980956068</v>
      </c>
      <c r="E36" s="52"/>
      <c r="F36" s="491"/>
      <c r="G36" s="25"/>
      <c r="H36" s="25"/>
      <c r="I36" s="25"/>
      <c r="J36" s="25"/>
      <c r="K36" s="25"/>
      <c r="L36" s="25"/>
      <c r="M36" s="25"/>
      <c r="N36" s="25"/>
      <c r="O36" s="25"/>
      <c r="P36" s="25"/>
      <c r="Q36" s="54"/>
      <c r="R36" s="29"/>
      <c r="S36" s="29"/>
      <c r="T36" s="29"/>
      <c r="U36" s="29"/>
      <c r="V36" s="29"/>
      <c r="W36" s="29"/>
      <c r="X36" s="25"/>
    </row>
    <row r="37" spans="1:24" ht="23.5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5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5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5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5" hidden="1" customHeight="1"/>
    <row r="72" spans="1:24" ht="14.55" hidden="1" customHeight="1"/>
    <row r="73" spans="1:24" ht="14.55" hidden="1" customHeight="1"/>
    <row r="74" spans="1:24" ht="14.5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4" zeroHeight="1"/>
  <cols>
    <col min="1" max="2" width="8.77734375" customWidth="1"/>
    <col min="3" max="3" width="78.5546875" bestFit="1" customWidth="1"/>
    <col min="4" max="4" width="28.5546875" style="18" customWidth="1"/>
    <col min="5" max="5" width="14.44140625" hidden="1" customWidth="1"/>
    <col min="6" max="6" width="18.44140625" hidden="1" customWidth="1"/>
    <col min="7" max="7" width="15.77734375" style="18" customWidth="1"/>
    <col min="8" max="8" width="34.5546875" style="20" customWidth="1"/>
    <col min="9" max="9" width="13" customWidth="1"/>
    <col min="10" max="10" width="12.77734375" bestFit="1" customWidth="1"/>
    <col min="11" max="11" width="23.77734375" hidden="1" customWidth="1"/>
    <col min="12" max="25" width="8.77734375" customWidth="1"/>
    <col min="26" max="16384" width="8.777343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2">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8">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8">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8">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8">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8">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8">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8">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8">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8">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8">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8">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8">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8">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8">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8">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8">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8">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8">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8">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8">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8">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8">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8">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8">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8">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8">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8">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8">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0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8">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8">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8">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8">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8">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8">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8">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8">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8">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8">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8">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8">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8">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8">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8">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8">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8">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8">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8">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8">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8">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8">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8">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8">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8">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8">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8">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8">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8">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8">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8">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4"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8">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8">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8">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8">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8">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8">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8">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4"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0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1875" defaultRowHeight="14.4" zeroHeight="1"/>
  <cols>
    <col min="1" max="1" width="8.77734375" customWidth="1"/>
    <col min="2" max="2" width="79.21875" customWidth="1"/>
    <col min="3" max="3" width="24.21875" customWidth="1"/>
    <col min="4" max="4" width="31.21875" customWidth="1"/>
    <col min="5" max="5" width="114.5546875" customWidth="1"/>
    <col min="6" max="6" width="35.77734375" customWidth="1"/>
    <col min="7" max="11" width="17.77734375" customWidth="1"/>
    <col min="12" max="13" width="41.21875" customWidth="1"/>
    <col min="14" max="14" width="96" customWidth="1"/>
    <col min="15" max="15" width="9.21875" customWidth="1"/>
    <col min="16" max="19" width="9.21875" hidden="1" customWidth="1"/>
    <col min="20" max="16380" width="14.44140625" hidden="1" customWidth="1"/>
    <col min="16381" max="16383" width="14.44140625" style="25" customWidth="1"/>
    <col min="16384" max="16384" width="9.218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5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8">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8">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8">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8">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8">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8">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8">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8">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8">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topLeftCell="A46" zoomScale="80" zoomScaleNormal="80" workbookViewId="0"/>
  </sheetViews>
  <sheetFormatPr defaultColWidth="2.77734375" defaultRowHeight="14.4" zeroHeight="1"/>
  <cols>
    <col min="1" max="1" width="25.21875" customWidth="1"/>
    <col min="2" max="2" width="8.77734375" customWidth="1"/>
    <col min="3" max="3" width="42" customWidth="1"/>
    <col min="4" max="4" width="18.77734375" customWidth="1"/>
    <col min="5" max="5" width="32.44140625" customWidth="1"/>
    <col min="6" max="6" width="19.5546875" customWidth="1"/>
    <col min="7" max="7" width="32" bestFit="1" customWidth="1"/>
    <col min="8" max="8" width="8.77734375" customWidth="1"/>
    <col min="9" max="9" width="82.44140625" bestFit="1" customWidth="1"/>
    <col min="10" max="10" width="13.77734375" customWidth="1"/>
    <col min="11" max="11" width="35.21875" bestFit="1" customWidth="1"/>
    <col min="12" max="12" width="8.77734375" customWidth="1"/>
    <col min="13" max="13" width="48.5546875" bestFit="1" customWidth="1"/>
    <col min="14" max="14" width="8.77734375" customWidth="1"/>
    <col min="15" max="15" width="33.5546875" bestFit="1" customWidth="1"/>
    <col min="16" max="16" width="8.77734375" customWidth="1"/>
    <col min="17" max="17" width="44" customWidth="1"/>
    <col min="18" max="18" width="8.77734375" customWidth="1"/>
    <col min="19" max="19" width="35.77734375" bestFit="1" customWidth="1"/>
    <col min="20" max="20" width="8.77734375" customWidth="1"/>
    <col min="21" max="21" width="61.5546875" customWidth="1"/>
    <col min="22" max="22" width="12" bestFit="1" customWidth="1"/>
    <col min="23" max="23" width="81.77734375" bestFit="1" customWidth="1"/>
    <col min="24" max="24" width="61.21875" bestFit="1" customWidth="1"/>
    <col min="25" max="25" width="47.77734375" bestFit="1" customWidth="1"/>
    <col min="26" max="26" width="17" bestFit="1" customWidth="1"/>
    <col min="27" max="27" width="48.21875" customWidth="1"/>
    <col min="28" max="28" width="17" bestFit="1" customWidth="1"/>
    <col min="29" max="29" width="48.21875" customWidth="1"/>
    <col min="30" max="16380" width="2.77734375" hidden="1" customWidth="1"/>
    <col min="16381" max="16384" width="2.77734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8">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3.2">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6">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8">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6">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21875" defaultRowHeight="14.4"/>
  <cols>
    <col min="1" max="2" width="9.21875" style="25"/>
    <col min="3" max="3" width="34.21875" style="25" customWidth="1"/>
    <col min="4" max="4" width="45.44140625" style="25" customWidth="1"/>
    <col min="5" max="5" width="38.77734375" style="25" customWidth="1"/>
    <col min="6" max="16384" width="9.21875" style="25"/>
  </cols>
  <sheetData>
    <row r="2" spans="3:5" ht="15" thickBot="1"/>
    <row r="3" spans="3:5">
      <c r="C3" s="1055" t="s">
        <v>1016</v>
      </c>
      <c r="D3" s="819"/>
      <c r="E3" s="687"/>
    </row>
    <row r="4" spans="3:5">
      <c r="C4" s="91" t="s">
        <v>1015</v>
      </c>
      <c r="D4" s="49" t="s">
        <v>1017</v>
      </c>
      <c r="E4" s="92" t="s">
        <v>1018</v>
      </c>
    </row>
    <row r="5" spans="3:5">
      <c r="C5" s="226" t="s">
        <v>1014</v>
      </c>
      <c r="D5" s="7" t="s">
        <v>1019</v>
      </c>
      <c r="E5" s="233" t="s">
        <v>1020</v>
      </c>
    </row>
    <row r="6" spans="3:5" ht="28.8">
      <c r="C6" s="226" t="s">
        <v>1021</v>
      </c>
      <c r="D6" s="9" t="s">
        <v>1036</v>
      </c>
      <c r="E6" s="233" t="s">
        <v>1022</v>
      </c>
    </row>
    <row r="7" spans="3:5" ht="28.8">
      <c r="C7" s="226" t="s">
        <v>1023</v>
      </c>
      <c r="D7" s="9" t="s">
        <v>1024</v>
      </c>
      <c r="E7" s="233" t="s">
        <v>1025</v>
      </c>
    </row>
    <row r="8" spans="3:5" ht="100.8">
      <c r="C8" s="226" t="s">
        <v>1026</v>
      </c>
      <c r="D8" s="9" t="s">
        <v>1037</v>
      </c>
      <c r="E8" s="233" t="s">
        <v>1038</v>
      </c>
    </row>
    <row r="9" spans="3:5" ht="28.8">
      <c r="C9" s="226" t="s">
        <v>1039</v>
      </c>
      <c r="D9" s="9" t="s">
        <v>1040</v>
      </c>
      <c r="E9" s="233" t="s">
        <v>1041</v>
      </c>
    </row>
    <row r="10" spans="3:5" ht="58.2"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21875" customWidth="1"/>
    <col min="2" max="2" width="24.44140625" bestFit="1" customWidth="1"/>
    <col min="3" max="3" width="34.21875" bestFit="1" customWidth="1"/>
    <col min="4" max="4" width="41.77734375" bestFit="1" customWidth="1"/>
    <col min="5" max="5" width="50.21875" customWidth="1"/>
    <col min="6" max="6" width="20.44140625" customWidth="1"/>
    <col min="7" max="8" width="8.77734375" customWidth="1"/>
    <col min="9" max="16384" width="8.77734375" hidden="1"/>
  </cols>
  <sheetData>
    <row r="1" spans="1:8" ht="15" thickBot="1">
      <c r="A1" s="60"/>
      <c r="B1" s="60"/>
      <c r="C1" s="60"/>
      <c r="D1" s="60"/>
      <c r="E1" s="60"/>
      <c r="F1" s="60"/>
      <c r="G1" s="60"/>
      <c r="H1" s="60"/>
    </row>
    <row r="2" spans="1:8" ht="19.2"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4"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478C9D2C77C243BD7D4DA6E4F352B9" ma:contentTypeVersion="19" ma:contentTypeDescription="Create a new document." ma:contentTypeScope="" ma:versionID="21716cddc7f5250951c3654d85e9e5fb">
  <xsd:schema xmlns:xsd="http://www.w3.org/2001/XMLSchema" xmlns:xs="http://www.w3.org/2001/XMLSchema" xmlns:p="http://schemas.microsoft.com/office/2006/metadata/properties" xmlns:ns2="085b728d-3224-4ba0-a7fd-56e77e5459f7" xmlns:ns3="a6e41ab9-9297-4dd1-ad77-67b505406593" targetNamespace="http://schemas.microsoft.com/office/2006/metadata/properties" ma:root="true" ma:fieldsID="54e9ee548e5a87813287322c4c77eda1" ns2:_="" ns3:_="">
    <xsd:import namespace="085b728d-3224-4ba0-a7fd-56e77e5459f7"/>
    <xsd:import namespace="a6e41ab9-9297-4dd1-ad77-67b5054065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5b728d-3224-4ba0-a7fd-56e77e545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79a6c7-edca-41e2-ae6c-a307c8f086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41ab9-9297-4dd1-ad77-67b505406593"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0253d5a-d83e-4cd3-8faa-7540c46523c0}" ma:internalName="TaxCatchAll" ma:showField="CatchAllData" ma:web="a6e41ab9-9297-4dd1-ad77-67b5054065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6e41ab9-9297-4dd1-ad77-67b505406593" xsi:nil="true"/>
    <SharedWithUsers xmlns="a6e41ab9-9297-4dd1-ad77-67b505406593">
      <UserInfo>
        <DisplayName>Bird, Charlie</DisplayName>
        <AccountId>150</AccountId>
        <AccountType/>
      </UserInfo>
    </SharedWithUsers>
    <lcf76f155ced4ddcb4097134ff3c332f xmlns="085b728d-3224-4ba0-a7fd-56e77e545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61E8D887-1BCE-4AF6-AAF0-7BA337E44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5b728d-3224-4ba0-a7fd-56e77e5459f7"/>
    <ds:schemaRef ds:uri="a6e41ab9-9297-4dd1-ad77-67b5054065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a6e41ab9-9297-4dd1-ad77-67b505406593"/>
    <ds:schemaRef ds:uri="085b728d-3224-4ba0-a7fd-56e77e545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Jessica Sterritt</cp:lastModifiedBy>
  <cp:revision/>
  <dcterms:created xsi:type="dcterms:W3CDTF">2020-09-14T13:04:31Z</dcterms:created>
  <dcterms:modified xsi:type="dcterms:W3CDTF">2025-12-24T11:07:23Z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0x0101005B478C9D2C77C243BD7D4DA6E4F352B9</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