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D:\Dropbox\Clients\Hayward Julian\Midge Hall\Car Barn Proposal\Application 3\for app\"/>
    </mc:Choice>
  </mc:AlternateContent>
  <xr:revisionPtr revIDLastSave="0" documentId="13_ncr:1_{1263A2CC-80FC-4D55-91B3-6E14FFF1CE83}"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38620" windowHeight="21100" tabRatio="730" firstSheet="2"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G126" i="1" s="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cellMetadata count="1">
    <bk>
      <rc t="1" v="0"/>
    </bk>
  </cellMetadata>
  <valueMetadata count="6">
    <bk>
      <rc t="2" v="0"/>
    </bk>
    <bk>
      <rc t="2" v="1"/>
    </bk>
    <bk>
      <rc t="2" v="2"/>
    </bk>
    <bk>
      <rc t="2" v="3"/>
    </bk>
    <bk>
      <rc t="2" v="4"/>
    </bk>
    <bk>
      <rc t="2" v="5"/>
    </bk>
  </valueMetadata>
</metadata>
</file>

<file path=xl/sharedStrings.xml><?xml version="1.0" encoding="utf-8"?>
<sst xmlns="http://schemas.openxmlformats.org/spreadsheetml/2006/main" count="3175" uniqueCount="1063">
  <si>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</si>
  <si>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</si>
  <si>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</si>
  <si>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</si>
  <si>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</si>
  <si>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</si>
  <si>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</si>
  <si>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</si>
  <si>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</si>
  <si>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</si>
  <si>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</si>
  <si>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</si>
  <si>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</si>
  <si>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</si>
  <si>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</si>
  <si>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</si>
  <si>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</si>
  <si>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</si>
  <si>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</si>
  <si>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</si>
  <si>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</si>
  <si>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</si>
  <si>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</si>
  <si>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</si>
  <si>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</si>
  <si>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</si>
  <si>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</si>
  <si>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</si>
  <si>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</si>
  <si>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</si>
  <si>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</si>
  <si>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</si>
  <si>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</si>
  <si>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</si>
  <si>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</si>
  <si>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</si>
  <si>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</si>
  <si>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</si>
  <si>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</si>
  <si>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</si>
  <si>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</si>
  <si>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</si>
  <si>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</si>
  <si>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</si>
  <si>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</si>
  <si>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</si>
  <si>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</si>
  <si>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</si>
  <si>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</si>
  <si>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</si>
  <si>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</si>
  <si>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</si>
  <si>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</si>
  <si>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</si>
  <si>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</si>
  <si>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</si>
  <si>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</si>
  <si>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</si>
  <si>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</si>
  <si>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</si>
  <si>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</si>
  <si>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</si>
  <si>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</si>
  <si>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</si>
  <si>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</si>
  <si>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</si>
  <si>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</si>
  <si>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</si>
  <si>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</si>
  <si>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</si>
  <si>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</si>
  <si>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</si>
  <si>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</si>
  <si>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</si>
  <si>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</si>
  <si>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</si>
  <si>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</si>
  <si>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</si>
  <si>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</si>
  <si>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</si>
  <si>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</si>
  <si>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</si>
  <si>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</si>
  <si>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</si>
  <si>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</si>
  <si>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</si>
  <si>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</si>
  <si>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</si>
  <si>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</si>
  <si>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</si>
  <si>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</si>
  <si>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</si>
  <si>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</si>
  <si>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</si>
  <si>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</si>
  <si>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</si>
  <si>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</si>
  <si>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</si>
  <si>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</si>
  <si>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</si>
  <si>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</si>
  <si>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</si>
  <si>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</si>
  <si>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</si>
  <si>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</si>
  <si>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</si>
  <si>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</si>
  <si>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</si>
  <si>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</si>
  <si>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</si>
  <si>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</si>
  <si>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</si>
  <si>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</si>
  <si>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</si>
  <si>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</si>
  <si>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</si>
  <si>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</si>
  <si>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</si>
  <si>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</si>
  <si>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</si>
  <si>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</si>
  <si>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</si>
  <si>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</si>
  <si>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</si>
  <si>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</si>
  <si>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</si>
  <si>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</si>
  <si>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</si>
  <si>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</si>
  <si>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</si>
  <si>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</si>
  <si>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</si>
  <si>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</si>
  <si>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</si>
  <si>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</si>
  <si>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</si>
  <si>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</si>
  <si>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</si>
  <si>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</si>
  <si>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</si>
  <si>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</si>
  <si>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</si>
  <si>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</si>
  <si>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</si>
  <si>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</si>
  <si>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</si>
  <si>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</si>
  <si>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</si>
  <si>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</si>
  <si>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</si>
  <si>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</si>
  <si>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</si>
  <si>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</si>
  <si>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</si>
  <si>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</si>
  <si>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</si>
  <si>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</si>
  <si>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</si>
  <si>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</si>
  <si>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</si>
  <si>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</si>
  <si>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</si>
  <si>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</si>
  <si>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</si>
  <si>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</si>
  <si>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</si>
  <si>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</si>
  <si>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</si>
  <si>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</si>
  <si>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</si>
  <si>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</si>
  <si>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</si>
  <si>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</si>
  <si>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</si>
  <si>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</si>
  <si>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</si>
  <si>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</si>
  <si>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</si>
  <si>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</si>
  <si>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</si>
  <si>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</si>
  <si>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</si>
  <si>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</si>
  <si>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</si>
  <si>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</si>
  <si>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</si>
  <si>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</si>
  <si>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</si>
  <si>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</si>
  <si>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</si>
  <si>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</si>
  <si>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</si>
  <si>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</si>
  <si>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</si>
  <si>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</si>
  <si>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</si>
  <si>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</si>
  <si>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</si>
  <si>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</si>
  <si>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</si>
  <si>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</si>
  <si>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</si>
  <si>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</si>
  <si>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</si>
  <si>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</si>
  <si>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</si>
  <si>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</si>
  <si>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</si>
  <si>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</si>
  <si>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</si>
  <si>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</si>
  <si>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</si>
  <si>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</si>
  <si>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</si>
  <si>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</si>
  <si>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</si>
  <si>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</si>
  <si>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</si>
  <si>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</si>
  <si>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</si>
  <si>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</si>
  <si>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</si>
  <si>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</si>
  <si>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</si>
  <si>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</si>
  <si>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</si>
  <si>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</si>
  <si>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</si>
  <si>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</si>
  <si>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</si>
  <si>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</si>
  <si>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</si>
  <si>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</si>
  <si>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</si>
  <si>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</si>
  <si>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</si>
  <si>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</si>
  <si>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</si>
  <si>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</si>
  <si>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</si>
  <si>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</si>
  <si>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</si>
  <si>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</si>
  <si>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</si>
  <si>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</si>
  <si>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</si>
  <si>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</si>
  <si>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</si>
  <si>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</si>
  <si>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</si>
  <si>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</si>
  <si>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</si>
  <si>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</si>
  <si>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</si>
  <si>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</si>
  <si>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</si>
  <si>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</si>
  <si>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</si>
  <si>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</si>
  <si>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</si>
  <si>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</si>
  <si>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</si>
  <si>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</si>
  <si>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</si>
  <si>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</si>
  <si>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</si>
  <si>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</si>
  <si>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</si>
  <si>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</si>
  <si>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</si>
  <si>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</si>
  <si>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</si>
  <si>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</si>
  <si>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</si>
  <si>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</si>
  <si>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</si>
  <si>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</si>
  <si>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</si>
  <si>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</si>
  <si>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</si>
  <si>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</si>
  <si>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</si>
  <si>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</si>
  <si>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</si>
  <si>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</si>
  <si>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</si>
  <si>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</si>
  <si>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</si>
  <si>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</si>
  <si>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</si>
  <si>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</si>
  <si>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</si>
  <si>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</si>
  <si>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</si>
  <si>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</si>
  <si>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</si>
  <si>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</si>
  <si>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</si>
  <si>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</si>
  <si>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</si>
  <si>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</si>
  <si>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</si>
  <si>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</si>
  <si>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</si>
  <si>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</si>
  <si>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</si>
  <si>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</si>
  <si>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</si>
  <si>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</si>
  <si>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</si>
  <si>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</si>
  <si>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</si>
  <si>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</si>
  <si>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</si>
  <si>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</si>
  <si>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</si>
  <si>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</si>
  <si>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</si>
  <si>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</si>
  <si>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</si>
  <si>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</si>
  <si>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</si>
  <si>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</si>
  <si>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</si>
  <si>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</si>
  <si>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</si>
  <si>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</si>
  <si>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</si>
  <si>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</si>
  <si>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</si>
  <si>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</si>
  <si>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</si>
  <si>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</si>
  <si>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</si>
  <si>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</si>
  <si>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</si>
  <si>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</si>
  <si>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</si>
  <si>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</si>
  <si>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</si>
  <si>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</si>
  <si>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</si>
  <si>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</si>
  <si>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</si>
  <si>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</si>
  <si>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</si>
  <si>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</si>
  <si>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</si>
  <si>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</si>
  <si>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</si>
  <si>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</si>
  <si>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</si>
  <si>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</si>
  <si>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</si>
  <si>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</si>
  <si>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</si>
  <si>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</si>
  <si>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</si>
  <si>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</si>
  <si>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</si>
  <si>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</si>
  <si>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</si>
  <si>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</si>
  <si>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</si>
  <si>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</si>
  <si>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</si>
  <si>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</si>
  <si>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</si>
  <si>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</si>
  <si>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</si>
  <si>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</si>
  <si>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</si>
  <si>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</si>
  <si>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</si>
  <si>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</si>
  <si>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</si>
  <si>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</si>
  <si>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</si>
  <si>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</si>
  <si>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</si>
  <si>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</si>
  <si>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</si>
  <si>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</si>
  <si>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</si>
  <si>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</si>
  <si>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</si>
  <si>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</si>
  <si>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</si>
  <si>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</si>
  <si>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</si>
  <si>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</si>
  <si>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</si>
  <si>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</si>
  <si>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</si>
  <si>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</si>
  <si>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</si>
  <si>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</si>
  <si>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</si>
  <si>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</si>
  <si>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</si>
  <si>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</si>
  <si>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</si>
  <si>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</si>
  <si>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</si>
  <si>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</si>
  <si>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</si>
  <si>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</si>
  <si>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</si>
  <si>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</si>
  <si>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</si>
  <si>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</si>
  <si>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</si>
  <si>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</si>
  <si>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</si>
  <si>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</si>
  <si>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</si>
  <si>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</si>
  <si>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</si>
  <si>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</si>
  <si>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</si>
  <si>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</si>
  <si>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</si>
  <si>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</si>
  <si>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</si>
  <si>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</si>
  <si>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</si>
  <si>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</si>
  <si>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</si>
  <si>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</si>
  <si>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</si>
  <si>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</si>
  <si>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</si>
  <si>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</si>
  <si>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</si>
  <si>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</si>
  <si>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</si>
  <si>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</si>
  <si>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</si>
  <si>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</si>
  <si>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</si>
  <si>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</si>
  <si>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</si>
  <si>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</si>
  <si>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</si>
  <si>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</si>
  <si>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</si>
  <si>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</si>
  <si>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</si>
  <si>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</si>
  <si>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</si>
  <si>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</si>
  <si>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</si>
  <si>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</si>
  <si>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</si>
  <si>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</si>
  <si>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</si>
  <si>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</si>
  <si>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</si>
  <si>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</si>
  <si>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</si>
  <si>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</si>
  <si>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</si>
  <si>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</si>
  <si>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</si>
  <si>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</si>
  <si>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</si>
  <si>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</si>
  <si>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</si>
  <si>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</si>
  <si>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</si>
  <si>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</si>
  <si>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</si>
  <si>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</si>
  <si>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</si>
  <si>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</si>
  <si>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</si>
  <si>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</si>
  <si>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</si>
  <si>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</si>
  <si>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</si>
  <si>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</si>
  <si>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</si>
  <si>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</si>
  <si>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</si>
  <si>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</si>
  <si>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</si>
  <si>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</si>
  <si>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</si>
  <si>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</si>
  <si>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</si>
  <si>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</si>
  <si>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</si>
  <si>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</si>
  <si>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</si>
  <si>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</si>
  <si>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</si>
  <si>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</si>
  <si>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</si>
  <si>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</si>
  <si>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</si>
  <si>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</si>
  <si>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</si>
  <si>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</si>
  <si>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</si>
  <si>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</si>
  <si>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</si>
  <si>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</si>
  <si>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</si>
  <si>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</si>
  <si>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</si>
  <si>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</si>
  <si>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</si>
  <si>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</si>
  <si>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</si>
  <si>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</si>
  <si>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</si>
  <si>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</si>
  <si>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</si>
  <si>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</si>
  <si>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</si>
  <si>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</si>
  <si>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</si>
  <si>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</si>
  <si>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</si>
  <si>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</si>
  <si>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</si>
  <si>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</si>
  <si>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</si>
  <si>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</si>
  <si>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</si>
  <si>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</si>
  <si>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</si>
  <si>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</si>
  <si>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</si>
  <si>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</si>
  <si>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</si>
  <si>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</si>
  <si>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</si>
  <si>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</si>
  <si>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</si>
  <si>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</si>
  <si>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</si>
  <si>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</si>
  <si>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</si>
  <si>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</si>
  <si>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</si>
  <si>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</si>
  <si>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</si>
  <si>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</si>
  <si>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</si>
  <si>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</si>
  <si>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</si>
  <si>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</si>
  <si>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</si>
  <si>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</si>
  <si>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</si>
  <si>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</si>
  <si>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</si>
  <si>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</si>
  <si>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</si>
  <si>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</si>
  <si>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</si>
  <si>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</si>
  <si>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</si>
  <si>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</si>
  <si>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</si>
  <si>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</si>
  <si>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</si>
  <si>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</si>
  <si>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</si>
  <si>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</si>
  <si>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</si>
  <si>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</si>
  <si>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</si>
  <si>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</si>
  <si>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</si>
  <si>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</si>
  <si>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</si>
  <si>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</si>
  <si>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</si>
  <si>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</si>
  <si>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</si>
  <si>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</si>
  <si>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</si>
  <si>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</si>
  <si>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</si>
  <si>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</si>
  <si>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</si>
  <si>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</si>
  <si>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</si>
  <si>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</si>
  <si>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</si>
  <si>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</si>
  <si>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</si>
  <si>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</si>
  <si>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</si>
  <si>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</si>
  <si>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</si>
  <si>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</si>
  <si>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</si>
  <si>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</si>
  <si>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</si>
  <si>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</si>
  <si>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</si>
  <si>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</si>
  <si>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</si>
  <si>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</si>
  <si>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</si>
  <si>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</si>
  <si>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</si>
  <si>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</si>
  <si>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</si>
  <si>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</si>
  <si>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</si>
  <si>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</si>
  <si>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</si>
  <si>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</si>
  <si>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</si>
  <si>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</si>
  <si>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</si>
  <si>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</si>
  <si>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</si>
  <si>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</si>
  <si>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</si>
  <si>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</si>
  <si>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</si>
  <si>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</si>
  <si>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</si>
  <si>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</si>
  <si>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</si>
  <si>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</si>
  <si>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</si>
  <si>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</si>
  <si>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</si>
  <si>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</si>
  <si>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</si>
  <si>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</si>
  <si>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</si>
  <si>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</si>
  <si>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</si>
  <si>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</si>
  <si>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</si>
  <si>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</si>
  <si>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</si>
  <si>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</si>
  <si>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</si>
  <si>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</si>
  <si>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</si>
  <si>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</si>
  <si>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</si>
  <si>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</si>
  <si>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</si>
  <si>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</si>
  <si>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</si>
  <si>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</si>
  <si>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</si>
  <si>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</si>
  <si>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</si>
  <si>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</si>
  <si>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</si>
  <si>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</si>
  <si>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</si>
  <si>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</si>
  <si>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</si>
  <si>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</si>
  <si>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</si>
  <si>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</si>
  <si>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</si>
  <si>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</si>
  <si>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</si>
  <si>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</si>
  <si>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</si>
  <si>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</si>
  <si>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</si>
  <si>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</si>
  <si>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</si>
  <si>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</si>
  <si>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</si>
  <si>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</si>
  <si>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</si>
  <si>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</si>
  <si>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</si>
  <si>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</si>
  <si>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</si>
  <si>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</si>
  <si>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</si>
  <si>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</si>
  <si>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</si>
  <si>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</si>
  <si>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</si>
  <si>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</si>
  <si>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</si>
  <si>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</si>
  <si>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</si>
  <si>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</si>
  <si>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</si>
  <si>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</si>
  <si>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</si>
  <si>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</si>
  <si>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</si>
  <si>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</si>
  <si>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</si>
  <si>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</si>
  <si>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</si>
  <si>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</si>
  <si>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</si>
  <si>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</si>
  <si>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</si>
  <si>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</si>
  <si>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</si>
  <si>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</si>
  <si>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</si>
  <si>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</si>
  <si>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</si>
  <si>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</si>
  <si>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</si>
  <si>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</si>
  <si>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</si>
  <si>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</si>
  <si>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</si>
  <si>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</si>
  <si>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</si>
  <si>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</si>
  <si>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</si>
  <si>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</si>
  <si>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</si>
  <si>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</si>
  <si>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</si>
  <si>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</si>
  <si>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</si>
  <si>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</si>
  <si>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</si>
  <si>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</si>
  <si>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</si>
  <si>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</si>
  <si>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</si>
  <si>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</si>
  <si>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</si>
  <si>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</si>
  <si>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</si>
  <si>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</si>
  <si>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</si>
  <si>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</si>
  <si>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</si>
  <si>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</si>
  <si>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</si>
  <si>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</si>
  <si>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</si>
  <si>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</si>
  <si>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</si>
  <si>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</si>
  <si>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</si>
  <si>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</si>
  <si>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</si>
  <si>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</si>
  <si>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</si>
  <si>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</si>
  <si>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</si>
  <si>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</si>
  <si>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</si>
  <si>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</si>
  <si>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</si>
  <si>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</si>
  <si>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</si>
  <si>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</si>
  <si>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</si>
  <si>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</si>
  <si>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</si>
  <si>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</si>
  <si>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</si>
  <si>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</si>
  <si>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</si>
  <si>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</si>
  <si>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</si>
  <si>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</si>
  <si>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</si>
  <si>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</si>
  <si>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</si>
  <si>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</si>
  <si>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</si>
  <si>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</si>
  <si>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</si>
  <si>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</si>
  <si>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</si>
  <si>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</si>
  <si>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</si>
  <si>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</si>
  <si>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</si>
  <si>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</si>
  <si>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</si>
  <si>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</si>
  <si>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</si>
  <si>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</si>
  <si>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</si>
  <si>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</si>
  <si>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</si>
  <si>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</si>
  <si>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</si>
  <si>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</si>
  <si>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</si>
  <si>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</si>
  <si>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</si>
  <si>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</si>
  <si>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</si>
  <si>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</si>
  <si>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</si>
  <si>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</si>
  <si>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</si>
  <si>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</si>
  <si>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</si>
  <si>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</si>
  <si>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</si>
  <si>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</si>
  <si>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</si>
  <si>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</si>
  <si>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</si>
  <si>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</si>
  <si>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</si>
  <si>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</si>
  <si>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</si>
  <si>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</si>
  <si>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</si>
  <si>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</si>
  <si>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</si>
  <si>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</si>
  <si>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</si>
  <si>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</si>
  <si>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</si>
  <si>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</si>
  <si>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</si>
  <si>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</si>
  <si>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</si>
  <si>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</si>
  <si>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</si>
  <si>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</si>
  <si>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</si>
  <si>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</si>
  <si>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</si>
  <si>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</si>
  <si>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</si>
  <si>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</si>
  <si>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</si>
  <si>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</si>
  <si>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</si>
  <si>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</si>
  <si>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</si>
  <si>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</si>
  <si>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</si>
  <si>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</si>
  <si>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</si>
  <si>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</si>
  <si>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</si>
  <si>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</si>
  <si>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</si>
  <si>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</si>
  <si>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</si>
  <si>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</si>
  <si>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</si>
  <si>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</si>
  <si>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</si>
  <si>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</si>
  <si>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</si>
  <si>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</si>
  <si>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</si>
  <si>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</si>
  <si>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</si>
  <si>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</si>
  <si>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</si>
  <si>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</si>
  <si>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</si>
  <si>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</si>
  <si>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</si>
  <si>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</si>
  <si>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</si>
  <si>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</si>
  <si>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</si>
  <si>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</si>
  <si>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</si>
  <si>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</si>
  <si>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</si>
  <si>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</si>
  <si>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</si>
  <si>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</si>
  <si>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</si>
  <si>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</si>
  <si>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</si>
  <si>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</si>
  <si>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</si>
  <si>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</si>
  <si>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</si>
  <si>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</si>
  <si>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</si>
  <si>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</si>
  <si>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</si>
  <si>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</si>
  <si>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</si>
  <si>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</si>
  <si>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</si>
  <si>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</si>
  <si>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</si>
  <si>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</si>
  <si>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</si>
  <si>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</si>
  <si>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</si>
  <si>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</si>
  <si>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</si>
  <si>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</si>
  <si>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</si>
  <si>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</si>
  <si>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</si>
  <si>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</si>
  <si>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</si>
  <si>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</si>
  <si>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</si>
  <si>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</si>
  <si>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</si>
  <si>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</si>
  <si>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</si>
  <si>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</si>
  <si>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</si>
  <si>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</si>
  <si>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</si>
  <si>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</si>
  <si>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</si>
  <si>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</si>
  <si>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</si>
  <si>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</si>
  <si>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</si>
  <si>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</si>
  <si>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</si>
  <si>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</si>
  <si>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</si>
  <si>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</si>
  <si>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</si>
  <si>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</si>
  <si>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</si>
  <si>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</si>
  <si>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</si>
  <si>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</si>
  <si>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</si>
  <si>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</si>
  <si>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</si>
  <si>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</si>
  <si>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</si>
  <si>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</si>
  <si>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</si>
  <si>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</si>
  <si>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</si>
  <si>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</si>
  <si>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</si>
  <si>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</si>
  <si>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</si>
  <si>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</si>
  <si>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</si>
  <si>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</si>
  <si>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</si>
  <si>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</si>
  <si>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</si>
  <si>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</si>
  <si>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</si>
  <si>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</si>
  <si>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</si>
  <si>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</si>
  <si>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</si>
  <si>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</si>
  <si>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</si>
  <si>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</si>
  <si>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</si>
  <si>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</si>
  <si>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</si>
  <si>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</si>
  <si>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</si>
  <si>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</si>
  <si>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</si>
  <si>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</si>
  <si>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</si>
  <si>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</si>
  <si>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</si>
  <si>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</si>
  <si>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</si>
  <si>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</si>
  <si>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</si>
  <si>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</si>
  <si>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</si>
  <si>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</si>
  <si>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</si>
  <si>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</si>
  <si>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</si>
  <si>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</si>
  <si>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</si>
  <si>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</si>
  <si>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</si>
  <si>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</si>
  <si>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</si>
  <si>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</si>
  <si>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</si>
  <si>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</si>
  <si>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</si>
  <si>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</si>
  <si>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</si>
  <si>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</si>
  <si>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</si>
  <si>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</si>
  <si>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</si>
  <si>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</si>
  <si>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</si>
  <si>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</si>
  <si>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</si>
  <si>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</si>
  <si>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</si>
  <si>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</si>
  <si>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</si>
  <si>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</si>
  <si>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</si>
  <si>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</si>
  <si>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</si>
  <si>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</si>
  <si>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</si>
  <si>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</si>
  <si>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</si>
  <si>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</si>
  <si>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</si>
  <si>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</si>
  <si>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</si>
  <si>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</si>
  <si>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</si>
  <si>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</si>
  <si>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</si>
  <si>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</si>
  <si>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</si>
  <si>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</si>
  <si>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</si>
  <si>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</si>
  <si>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</si>
  <si>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</si>
  <si>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</si>
  <si>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</si>
  <si>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</si>
  <si>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</si>
  <si>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</si>
  <si>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</si>
  <si>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</si>
  <si>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</si>
  <si>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</si>
  <si>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</si>
  <si>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</si>
  <si>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</si>
  <si>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</si>
  <si>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</si>
  <si>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</si>
  <si>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</si>
  <si>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Midge Hall Car barn 3</t>
  </si>
  <si>
    <t>Julian Hayward</t>
  </si>
  <si>
    <t>Nicholas Pike , Planning Consultant</t>
  </si>
  <si>
    <t>Other</t>
  </si>
  <si>
    <t>No</t>
  </si>
  <si>
    <t>Walkover completed by competent person</t>
  </si>
  <si>
    <t>Nicholas Pike, Planning Consultant</t>
  </si>
  <si>
    <t>This is a previously cretaed bund.</t>
  </si>
  <si>
    <t>Shared driveway.</t>
  </si>
  <si>
    <t>Gravel driveway.</t>
  </si>
  <si>
    <t>Parking and turning area.</t>
  </si>
  <si>
    <t>Concrete base for the new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</si>
</sst>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0.36679999999999996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0.40401194993198591</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32" t="s">
        <v>13</v>
      </c>
      <c r="C2" s="633"/>
      <c r="D2" s="260" t="s">
        <v>14</v>
      </c>
      <c r="E2" s="40"/>
      <c r="F2" s="25"/>
      <c r="G2" s="25"/>
      <c r="H2" s="25"/>
      <c r="I2" s="25"/>
      <c r="J2" s="25"/>
      <c r="K2" s="25"/>
    </row>
    <row r="3" spans="1:11" ht="42" customHeight="1">
      <c r="A3" s="25"/>
      <c r="B3" s="627" t="s">
        <v>15</v>
      </c>
      <c r="C3" s="628"/>
      <c r="D3" s="31" t="s">
        <v>846</v>
      </c>
      <c r="E3" s="25"/>
      <c r="F3" s="25"/>
      <c r="G3" s="25"/>
      <c r="H3" s="25"/>
      <c r="I3" s="25"/>
      <c r="J3" s="25"/>
      <c r="K3" s="25"/>
    </row>
    <row r="4" spans="1:11" ht="42" customHeight="1">
      <c r="A4" s="25"/>
      <c r="B4" s="625" t="s">
        <v>16</v>
      </c>
      <c r="C4" s="626"/>
      <c r="D4" s="32" t="s">
        <v>1051</v>
      </c>
      <c r="E4" s="25"/>
      <c r="F4" s="25"/>
      <c r="G4" s="25"/>
      <c r="H4" s="25"/>
      <c r="I4" s="25"/>
      <c r="J4" s="25"/>
      <c r="K4" s="25"/>
    </row>
    <row r="5" spans="1:11" ht="42" customHeight="1">
      <c r="A5" s="25"/>
      <c r="B5" s="625" t="s">
        <v>17</v>
      </c>
      <c r="C5" s="626"/>
      <c r="D5" s="32" t="s">
        <v>1052</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c r="E7" s="25"/>
      <c r="F7" s="25"/>
      <c r="G7" s="25"/>
      <c r="H7" s="25"/>
      <c r="I7" s="25"/>
      <c r="J7" s="25"/>
      <c r="K7" s="25"/>
    </row>
    <row r="8" spans="1:11" ht="42" customHeight="1">
      <c r="A8" s="25"/>
      <c r="B8" s="625" t="s">
        <v>20</v>
      </c>
      <c r="C8" s="626"/>
      <c r="D8" s="32" t="s">
        <v>1053</v>
      </c>
      <c r="E8" s="25"/>
      <c r="F8" s="25"/>
      <c r="G8" s="25"/>
      <c r="H8" s="25"/>
      <c r="I8" s="25"/>
      <c r="J8" s="25"/>
      <c r="K8" s="25"/>
    </row>
    <row r="9" spans="1:11" ht="42" customHeight="1">
      <c r="A9" s="25"/>
      <c r="B9" s="625" t="s">
        <v>21</v>
      </c>
      <c r="C9" s="626"/>
      <c r="D9" s="287">
        <v>45972</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5"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5" sqref="C5"/>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Midge Hall Car barn 3</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1901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45966</v>
      </c>
      <c r="D20" s="162" t="str">
        <f>IF(C20="","Walkover date required ▲","Site walkover data valid until "&amp;TEXT(EDATE(C20,6),"dd/mm/yy"))</f>
        <v>Site walkover data valid until 05/05/26</v>
      </c>
      <c r="E20" s="25"/>
      <c r="F20" s="25"/>
      <c r="G20" s="25"/>
      <c r="H20" s="25"/>
      <c r="I20" s="25"/>
      <c r="J20" s="25"/>
      <c r="K20" s="25"/>
      <c r="L20" s="25"/>
      <c r="M20" s="25"/>
      <c r="N20" s="25"/>
    </row>
    <row r="21" spans="1:14" ht="39.65" customHeight="1" thickBot="1">
      <c r="A21" s="25"/>
      <c r="B21" s="36" t="s">
        <v>1034</v>
      </c>
      <c r="C21" s="560" t="s">
        <v>1057</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0" zoomScaleNormal="80" workbookViewId="0">
      <pane xSplit="2" ySplit="7" topLeftCell="C11" activePane="bottomRight" state="frozen"/>
      <selection pane="topRight" activeCell="C1" sqref="C1"/>
      <selection pane="bottomLeft" activeCell="A8" sqref="A8"/>
      <selection pane="bottomRight" activeCell="D13" sqref="D13"/>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8" t="s">
        <v>32</v>
      </c>
      <c r="C2" s="649"/>
      <c r="D2" s="261" t="str">
        <f>IF('2. Site Details'!D4="","Enter site name on 2. Site Details",'2. Site Details'!D4)</f>
        <v>Midge Hall Car barn 3</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v>45966</v>
      </c>
      <c r="E8" s="399">
        <v>45966</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v>45966</v>
      </c>
      <c r="E10" s="399">
        <v>45966</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Ruderal/Ephemeral</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v>45966</v>
      </c>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Developed land; sealed surface</v>
      </c>
      <c r="D13" s="191" t="e" vm="5">
        <v>#VALUE!</v>
      </c>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v>45966</v>
      </c>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Artificial unvegetated, unsealed surface</v>
      </c>
      <c r="D15" s="193" t="e" vm="6">
        <v>#VALUE!</v>
      </c>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B1" zoomScale="87" zoomScaleNormal="87" workbookViewId="0">
      <selection activeCell="O33" sqref="O33"/>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0.27960000000000002</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Midge Hall Car barn 3</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8.72E-2</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0.12441194993198591</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3.7211949931985955E-2</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721" t="s">
        <v>305</v>
      </c>
      <c r="E11" s="722"/>
      <c r="F11" s="767" t="s">
        <v>112</v>
      </c>
      <c r="G11" s="768"/>
      <c r="H11" s="769"/>
      <c r="I11" s="305">
        <v>797</v>
      </c>
      <c r="J11" s="323">
        <v>579</v>
      </c>
      <c r="K11" s="307"/>
      <c r="L11" s="408">
        <f>IF(C11="","",IFERROR(IF(I11="","",((I11/10000)*V11*X11)*AD11),"Error ▲"))</f>
        <v>0.31879999999999997</v>
      </c>
      <c r="M11" s="408">
        <f>IF(I11="","",IF(J11+K11&gt;I11,"Area Error ▲",I11-J11-K11))</f>
        <v>218</v>
      </c>
      <c r="N11" s="409">
        <f>IFERROR(IF(I11="","",IF(M11="Area Error ▲","Area Error ▲",((M11/10000)*V11*X11)*AD11)),"This intervention is not permitted within the SSM ▲")</f>
        <v>8.72E-2</v>
      </c>
      <c r="O11" s="67"/>
      <c r="P11" s="5"/>
      <c r="Q11" s="25"/>
      <c r="R11" s="654"/>
      <c r="S11" s="25"/>
      <c r="T11" s="663" t="str">
        <f>IF(C11="","",VLOOKUP(D11,'9. All Habitats + Multipliers'!$C$4:$K$102,5,FALSE))</f>
        <v>Low</v>
      </c>
      <c r="U11" s="664"/>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0.2316</v>
      </c>
      <c r="AF11" s="299">
        <f>IF(D11="","",((K11/10000)*V11*X11)*AD11)</f>
        <v>0</v>
      </c>
      <c r="AG11" s="96">
        <f>IF(D11="","",M11)</f>
        <v>218</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208</v>
      </c>
      <c r="D12" s="824" t="s">
        <v>322</v>
      </c>
      <c r="E12" s="825"/>
      <c r="F12" s="767" t="s">
        <v>112</v>
      </c>
      <c r="G12" s="768"/>
      <c r="H12" s="769"/>
      <c r="I12" s="305">
        <v>120</v>
      </c>
      <c r="J12" s="306">
        <v>120</v>
      </c>
      <c r="K12" s="307"/>
      <c r="L12" s="301">
        <f t="shared" ref="L12:L30" si="0">IF(C12="","",IFERROR(IF(I12="","",((I12/10000)*V12*X12)*AD12),"Error ▲"))</f>
        <v>4.8000000000000001E-2</v>
      </c>
      <c r="M12" s="301">
        <f t="shared" ref="M12:M30" si="1">IF(I12="","",IF(J12+K12&gt;I12,"Area Error ▲",I12-J12-K12))</f>
        <v>0</v>
      </c>
      <c r="N12" s="356">
        <f t="shared" ref="N12:N30" si="2">IFERROR(IF(I12="","",IF(M12="Area Error ▲","Area Error ▲",((M12/10000)*V12*X12)*AD12)),"This intervention is not permitted within the SSM ▲")</f>
        <v>0</v>
      </c>
      <c r="O12" s="68" t="s">
        <v>1058</v>
      </c>
      <c r="P12" s="3"/>
      <c r="Q12" s="25"/>
      <c r="R12" s="654"/>
      <c r="S12" s="25"/>
      <c r="T12" s="663" t="str">
        <f>IF(C12="","",VLOOKUP(D12,'9. All Habitats + Multipliers'!$C$4:$K$102,5,FALSE))</f>
        <v>Low</v>
      </c>
      <c r="U12" s="664"/>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4.8000000000000001E-2</v>
      </c>
      <c r="AF12" s="299">
        <f t="shared" ref="AF12:AF30" si="4">IF(D12="","",((K12/10000)*V12*X12)*AD12)</f>
        <v>0</v>
      </c>
      <c r="AG12" s="96">
        <f t="shared" ref="AG12:AG31" si="5">IF(D12="","",M12)</f>
        <v>0</v>
      </c>
      <c r="AH12" s="511" t="str">
        <f>IF(T12="","",VLOOKUP(T12,'11. Lists'!$B$47:$D$49,3,FALSE))</f>
        <v>Same distinctiveness or better habitat required</v>
      </c>
      <c r="AI12" s="545" t="str">
        <f>IF(D12="","",VLOOKUP(D12,'10. Condition and Temporal'!$B$6:$L$103,4,FALSE))</f>
        <v>Ruderal/Ephemeral</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9">
      <c r="A13" s="25"/>
      <c r="B13" s="264">
        <v>3</v>
      </c>
      <c r="C13" s="258" t="s">
        <v>209</v>
      </c>
      <c r="D13" s="824" t="s">
        <v>333</v>
      </c>
      <c r="E13" s="825"/>
      <c r="F13" s="767" t="s">
        <v>112</v>
      </c>
      <c r="G13" s="768"/>
      <c r="H13" s="769"/>
      <c r="I13" s="305">
        <v>739</v>
      </c>
      <c r="J13" s="306">
        <v>739</v>
      </c>
      <c r="K13" s="307"/>
      <c r="L13" s="301">
        <f t="shared" si="0"/>
        <v>0</v>
      </c>
      <c r="M13" s="301">
        <f t="shared" si="1"/>
        <v>0</v>
      </c>
      <c r="N13" s="356">
        <f t="shared" si="2"/>
        <v>0</v>
      </c>
      <c r="O13" s="68" t="s">
        <v>1059</v>
      </c>
      <c r="P13" s="3"/>
      <c r="Q13" s="25"/>
      <c r="R13" s="654"/>
      <c r="S13" s="25"/>
      <c r="T13" s="663" t="str">
        <f>IF(C13="","",VLOOKUP(D13,'9. All Habitats + Multipliers'!$C$4:$K$102,5,FALSE))</f>
        <v>V.Low</v>
      </c>
      <c r="U13" s="664"/>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0</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29">
      <c r="A14" s="25"/>
      <c r="B14" s="264">
        <v>4</v>
      </c>
      <c r="C14" s="258" t="s">
        <v>209</v>
      </c>
      <c r="D14" s="721" t="s">
        <v>326</v>
      </c>
      <c r="E14" s="722"/>
      <c r="F14" s="767" t="s">
        <v>112</v>
      </c>
      <c r="G14" s="768"/>
      <c r="H14" s="769"/>
      <c r="I14" s="305">
        <v>245</v>
      </c>
      <c r="J14" s="306">
        <v>245</v>
      </c>
      <c r="K14" s="307"/>
      <c r="L14" s="301">
        <f t="shared" si="0"/>
        <v>0</v>
      </c>
      <c r="M14" s="301">
        <f t="shared" si="1"/>
        <v>0</v>
      </c>
      <c r="N14" s="356">
        <f t="shared" si="2"/>
        <v>0</v>
      </c>
      <c r="O14" s="68" t="s">
        <v>1060</v>
      </c>
      <c r="P14" s="3"/>
      <c r="Q14" s="25"/>
      <c r="R14" s="654"/>
      <c r="S14" s="25"/>
      <c r="T14" s="663" t="str">
        <f>IF(C14="","",VLOOKUP(D14,'9. All Habitats + Multipliers'!$C$4:$K$102,5,FALSE))</f>
        <v>V.Low</v>
      </c>
      <c r="U14" s="664"/>
      <c r="V14" s="94">
        <f>IF(T14="","",VLOOKUP(T14,'11. Lists'!$B$47:$D$49,2,FALSE))</f>
        <v>0</v>
      </c>
      <c r="W14" s="184" t="str">
        <f>IF(C14="","",VLOOKUP(D14,'10. Condition and Temporal'!$B$6:$C$103,2,FALSE))</f>
        <v>N/A - Other</v>
      </c>
      <c r="X14" s="94">
        <f>IF(W14="","",VLOOKUP(W14,'11. Lists'!$F$47:$G$51,2,FALSE))</f>
        <v>0</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298">
        <f t="shared" si="3"/>
        <v>0</v>
      </c>
      <c r="AF14" s="299">
        <f t="shared" si="4"/>
        <v>0</v>
      </c>
      <c r="AG14" s="96">
        <f t="shared" si="5"/>
        <v>0</v>
      </c>
      <c r="AH14" s="511" t="str">
        <f>IF(T14="","",VLOOKUP(T14,'11. Lists'!$B$47:$D$49,3,FALSE))</f>
        <v>Compensation Not Required</v>
      </c>
      <c r="AI14" s="545" t="str">
        <f>IF(D14="","",VLOOKUP(D14,'10. Condition and Temporal'!$B$6:$L$103,4,FALSE))</f>
        <v>Enhancement not possible</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1901</v>
      </c>
      <c r="J32" s="327">
        <f>SUMIFS(J11:J30,D11:D30,"&lt;&gt;"&amp;'11. Lists'!Q10,D11:D30,"&lt;&gt;"&amp;'11. Lists'!Q11,D11:D30,"&lt;&gt;"&amp;'11. Lists'!I4,D11:D30,"&lt;&gt;"&amp;'11. Lists'!I2,D11:D30,"&lt;&gt;"&amp;'11. Lists'!I3)</f>
        <v>1683</v>
      </c>
      <c r="K32" s="328">
        <f>SUMIFS(K11:K30,D11:D30,"&lt;&gt;"&amp;'11. Lists'!Q10,D11:D30,"&lt;&gt;"&amp;'11. Lists'!Q11,D11:D30,"&lt;&gt;"&amp;'11. Lists'!I4,D11:D30,"&lt;&gt;"&amp;'11. Lists'!I2,D11:D30,"&lt;&gt;"&amp;'11. Lists'!I3)</f>
        <v>0</v>
      </c>
      <c r="L32" s="279">
        <f>SUM(L11:L31)</f>
        <v>0.36679999999999996</v>
      </c>
      <c r="M32" s="319">
        <f>SUMIFS(M11:M30,D11:D30,"&lt;&gt;"&amp;'11. Lists'!Q10,D11:D30,"&lt;&gt;"&amp;'11. Lists'!Q11,D11:D30,"&lt;&gt;"&amp;'11. Lists'!I4,D11:D30,"&lt;&gt;"&amp;'11. Lists'!I2,D11:D30,"&lt;&gt;"&amp;'11. Lists'!I3)</f>
        <v>218</v>
      </c>
      <c r="N32" s="280">
        <f>SUM(N11:N31)</f>
        <v>8.72E-2</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326</v>
      </c>
      <c r="E40" s="342" t="str">
        <f>IF(D40="","",VLOOKUP(D40,'10. Condition and Temporal'!$B$6:$D$103,3,FALSE))</f>
        <v>N/A - Other</v>
      </c>
      <c r="F40" s="826" t="s">
        <v>386</v>
      </c>
      <c r="G40" s="827"/>
      <c r="H40" s="72" t="s">
        <v>112</v>
      </c>
      <c r="I40" s="718">
        <v>112</v>
      </c>
      <c r="J40" s="719"/>
      <c r="K40" s="720"/>
      <c r="L40" s="711">
        <f>IF(C40="","",IFERROR(IF(I40="","",((I40/10000)*(V40*X40))*(AH40*AF40)*AD40),"This intervention is not permitted within the SSM ▲"))</f>
        <v>0</v>
      </c>
      <c r="M40" s="688"/>
      <c r="N40" s="712"/>
      <c r="O40" s="2" t="s">
        <v>1061</v>
      </c>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209</v>
      </c>
      <c r="D41" s="73" t="s">
        <v>333</v>
      </c>
      <c r="E41" s="342" t="str">
        <f>IF(D41="","",VLOOKUP(D41,'10. Condition and Temporal'!$B$6:$D$103,3,FALSE))</f>
        <v>N/A - Other</v>
      </c>
      <c r="F41" s="709" t="s">
        <v>386</v>
      </c>
      <c r="G41" s="710"/>
      <c r="H41" s="71" t="s">
        <v>112</v>
      </c>
      <c r="I41" s="718">
        <v>106</v>
      </c>
      <c r="J41" s="719"/>
      <c r="K41" s="720"/>
      <c r="L41" s="711">
        <f t="shared" ref="L41:L59" si="7">IF(C41="","",IFERROR(IF(I41="","",((I41/10000)*(V41*X41))*(AH41*AF41)*AD41),"This intervention is not permitted within the SSM ▲"))</f>
        <v>0</v>
      </c>
      <c r="M41" s="688"/>
      <c r="N41" s="712"/>
      <c r="O41" s="61" t="s">
        <v>1062</v>
      </c>
      <c r="P41" s="12"/>
      <c r="Q41" s="106"/>
      <c r="R41" s="654"/>
      <c r="T41" s="663" t="str">
        <f>IF(C41="","",VLOOKUP(D41,'9. All Habitats + Multipliers'!$C$4:$K$102,5,FALSE))</f>
        <v>V.Low</v>
      </c>
      <c r="U41" s="664"/>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47" t="s">
        <v>111</v>
      </c>
      <c r="G60" s="748"/>
      <c r="H60" s="550" t="s">
        <v>112</v>
      </c>
      <c r="I60" s="751">
        <f>O99</f>
        <v>406.94399999999996</v>
      </c>
      <c r="J60" s="752"/>
      <c r="K60" s="753"/>
      <c r="L60" s="713">
        <f>IF(D60="","",((I60/10000)*(V60*X60))*(AH60*AF60)*AD60)</f>
        <v>0.12441194993198591</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218</v>
      </c>
      <c r="J61" s="819"/>
      <c r="K61" s="820"/>
      <c r="L61" s="700">
        <f>SUM(L40:N60)</f>
        <v>0.12441194993198591</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624.94399999999996</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5"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5" customHeight="1">
      <c r="B95" s="745" t="s">
        <v>183</v>
      </c>
      <c r="C95" s="746"/>
      <c r="D95" s="155">
        <v>0</v>
      </c>
      <c r="E95" s="703">
        <v>0</v>
      </c>
      <c r="F95" s="704"/>
      <c r="G95" s="852">
        <v>10</v>
      </c>
      <c r="H95" s="853"/>
      <c r="I95" s="693">
        <f>D95*'11. Lists'!P47</f>
        <v>0</v>
      </c>
      <c r="J95" s="694"/>
      <c r="K95" s="695"/>
      <c r="L95" s="657">
        <f>IF(E95&gt;D95, "Error ▲", E95*'11. Lists'!P47)</f>
        <v>0</v>
      </c>
      <c r="M95" s="694"/>
      <c r="N95" s="695"/>
      <c r="O95" s="657">
        <f>G95*'11. Lists'!P47</f>
        <v>406.94399999999996</v>
      </c>
      <c r="P95" s="658"/>
      <c r="R95" s="654"/>
    </row>
    <row r="96" spans="1:76" s="25" customFormat="1" ht="24.65"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5"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5"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5" customHeight="1" thickBot="1">
      <c r="B99" s="645" t="s">
        <v>187</v>
      </c>
      <c r="C99" s="738"/>
      <c r="D99" s="285">
        <f>SUM(D95:D98)</f>
        <v>0</v>
      </c>
      <c r="E99" s="655">
        <f>SUM(E95:F98)</f>
        <v>0</v>
      </c>
      <c r="F99" s="708"/>
      <c r="G99" s="655">
        <f>SUM(G95:H98)</f>
        <v>10</v>
      </c>
      <c r="H99" s="656"/>
      <c r="I99" s="708">
        <f>SUM(I95:K98)</f>
        <v>0</v>
      </c>
      <c r="J99" s="707"/>
      <c r="K99" s="707"/>
      <c r="L99" s="707">
        <f>SUM(L95:N98)</f>
        <v>0</v>
      </c>
      <c r="M99" s="707"/>
      <c r="N99" s="707"/>
      <c r="O99" s="655">
        <f>SUM(O95:P98)</f>
        <v>406.94399999999996</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5"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 thickBot="1">
      <c r="R112" s="654"/>
    </row>
    <row r="113" spans="2:18" s="25" customFormat="1" ht="36.65" customHeight="1">
      <c r="B113" s="792" t="s">
        <v>193</v>
      </c>
      <c r="C113" s="793"/>
      <c r="D113" s="793"/>
      <c r="E113" s="212" t="s">
        <v>194</v>
      </c>
      <c r="F113" s="212" t="s">
        <v>195</v>
      </c>
      <c r="G113" s="212" t="s">
        <v>196</v>
      </c>
      <c r="H113" s="212" t="s">
        <v>197</v>
      </c>
      <c r="I113" s="120" t="s">
        <v>198</v>
      </c>
      <c r="J113" s="430"/>
      <c r="R113" s="654"/>
    </row>
    <row r="114" spans="2:18" s="25" customFormat="1" ht="15.65"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5"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5" customHeight="1">
      <c r="B116" s="794" t="s">
        <v>203</v>
      </c>
      <c r="C116" s="795"/>
      <c r="D116" s="796"/>
      <c r="E116" s="121" t="s">
        <v>200</v>
      </c>
      <c r="F116" s="122">
        <f>SUMIFS($L$11:$L$30,$C$11:$C$30,$B116,$T$11:$T$30,$E116)</f>
        <v>0.31879999999999997</v>
      </c>
      <c r="G116" s="122">
        <f>SUMIFS($L$40:$L$59,$C$40:$C$59,$B116,$T$40:$T$59,$E116)+SUMIFS($L$68:$L$87,AY68:AY87,B116,$AG$68:$AG$87,E116)+SUMIFS($AE$11:$AE$31,$C$11:$C$31,B116,$T$11:$T$31,E116)</f>
        <v>0.2316</v>
      </c>
      <c r="H116" s="122">
        <f>G116-F116</f>
        <v>-8.7199999999999972E-2</v>
      </c>
      <c r="I116" s="123" t="s">
        <v>201</v>
      </c>
      <c r="J116" s="157"/>
      <c r="R116" s="654"/>
    </row>
    <row r="117" spans="2:18" s="25" customFormat="1" ht="15.65"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5"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5"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5"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5"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5"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5"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5"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5"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5" customHeight="1">
      <c r="B126" s="794" t="s">
        <v>208</v>
      </c>
      <c r="C126" s="795"/>
      <c r="D126" s="796"/>
      <c r="E126" s="121" t="s">
        <v>200</v>
      </c>
      <c r="F126" s="122">
        <f>SUMIFS($L$11:$L$30,$C$11:$C$30,$B126,$T$11:$T$30,$E126)</f>
        <v>4.8000000000000001E-2</v>
      </c>
      <c r="G126" s="122">
        <f>SUMIFS($L$40:$L$59,$C$40:$C$59,$B126,$T$40:$T$59,$E126)+SUMIFS($L$68:$L$87,AY68:AY87,B126,$AG$68:$AG$87,E126)+SUMIFS($AE$11:$AE$31,$C$11:$C$31,B126,$T$11:$T$31,E126)</f>
        <v>4.8000000000000001E-2</v>
      </c>
      <c r="H126" s="122">
        <f t="shared" si="54"/>
        <v>0</v>
      </c>
      <c r="I126" s="123" t="s">
        <v>201</v>
      </c>
      <c r="J126" s="157"/>
      <c r="R126" s="654"/>
    </row>
    <row r="127" spans="2:18" s="25" customFormat="1" ht="15.65"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5"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5"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5"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5"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5"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5"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5"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5" customHeight="1" thickBot="1">
      <c r="B135" s="811"/>
      <c r="C135" s="812"/>
      <c r="D135" s="813"/>
      <c r="E135" s="214" t="s">
        <v>202</v>
      </c>
      <c r="F135" s="215">
        <f>SUMIFS($L$11:$L$31,$C$11:$C$31,$B134,$T$11:$T$31,$E135)</f>
        <v>0</v>
      </c>
      <c r="G135" s="215">
        <f>SUMIFS($L$40:$L$60,$C$40:$C$60,$B134,$T$40:$T$60,$E135)+SUMIFS($L$68:$L$88,$C$68:$C$88,B134,$AG$68:$AG$88,E135)+SUMIFS($AE$11:$AE$31,$C$11:$C$31,B134,$T$11:$T$31,E135)</f>
        <v>0.12441194993198591</v>
      </c>
      <c r="H135" s="215">
        <f>G135-F135</f>
        <v>0.12441194993198591</v>
      </c>
      <c r="I135" s="502" t="str">
        <f>IF(F135=0,"N/A",IF(H135&lt;0,"No ▲","Yes ✓"))</f>
        <v>N/A</v>
      </c>
      <c r="J135" s="157">
        <f t="shared" ref="J135:J140" si="55">IF(I135="No ▲",1,0)</f>
        <v>0</v>
      </c>
      <c r="R135" s="654"/>
    </row>
    <row r="136" spans="2:18" s="25" customFormat="1" ht="15.65" customHeight="1" thickBot="1">
      <c r="J136" s="157"/>
      <c r="M136" s="26"/>
      <c r="R136" s="654"/>
    </row>
    <row r="137" spans="2:18" s="25" customFormat="1" ht="37">
      <c r="B137" s="740" t="s">
        <v>194</v>
      </c>
      <c r="C137" s="741"/>
      <c r="D137" s="741"/>
      <c r="E137" s="742"/>
      <c r="F137" s="126" t="s">
        <v>195</v>
      </c>
      <c r="G137" s="126" t="s">
        <v>196</v>
      </c>
      <c r="H137" s="126" t="s">
        <v>197</v>
      </c>
      <c r="I137" s="127" t="s">
        <v>198</v>
      </c>
      <c r="J137" s="157"/>
      <c r="M137" s="26"/>
      <c r="R137" s="654"/>
    </row>
    <row r="138" spans="2:18" s="25" customFormat="1" ht="30.65" customHeight="1">
      <c r="B138" s="803" t="s">
        <v>212</v>
      </c>
      <c r="C138" s="804"/>
      <c r="D138" s="804"/>
      <c r="E138" s="805"/>
      <c r="F138" s="122">
        <f>SUMIFS($L$11:$L$31,$T$11:$T$31,"Medium")</f>
        <v>0</v>
      </c>
      <c r="G138" s="156">
        <f>IF(L61+L89+P1=0,0,SUMIFS($L$40:$L$60,$T$40:$T$60,"Medium")+SUMIFS($L$68:$L$87,$AG$68:$AG$87,"Medium")+SUMIFS($AE$11:$AE$31,$T$11:$T$31,"Medium"))</f>
        <v>0.12441194993198591</v>
      </c>
      <c r="H138" s="122">
        <f>IFERROR(G138-F138,"")</f>
        <v>0.12441194993198591</v>
      </c>
      <c r="I138" s="329" t="str">
        <f>IF(G138="","",IF(H138&gt;=0,"Yes ✓","No ▲"))</f>
        <v>Yes ✓</v>
      </c>
      <c r="J138" s="157">
        <f t="shared" si="55"/>
        <v>0</v>
      </c>
      <c r="R138" s="654" t="s">
        <v>52</v>
      </c>
    </row>
    <row r="139" spans="2:18" s="25" customFormat="1" ht="30.65" customHeight="1">
      <c r="B139" s="803" t="s">
        <v>213</v>
      </c>
      <c r="C139" s="804"/>
      <c r="D139" s="804"/>
      <c r="E139" s="805"/>
      <c r="F139" s="122">
        <f>SUMIFS($L$11:$L$31,$T$11:$T$31,"Low")</f>
        <v>0.36679999999999996</v>
      </c>
      <c r="G139" s="156">
        <f>IF(L61+L89+P1=0,0,SUMIFS($L$40:$L$60,$T$40:$T$60,"Low")+SUMIFS($L$68:$L$88,$AG$68:$AG$88,"Low")+SUMIFS($AE$11:$AE$31,$T$11:$T$31,"Low"))</f>
        <v>0.27960000000000002</v>
      </c>
      <c r="H139" s="122">
        <f>IFERROR(G139-F139,"")</f>
        <v>-8.7199999999999944E-2</v>
      </c>
      <c r="I139" s="329" t="str">
        <f>IF($I$142&gt;=0,"Yes ✓","No ▲")</f>
        <v>Yes ✓</v>
      </c>
      <c r="J139" s="157">
        <f t="shared" si="55"/>
        <v>0</v>
      </c>
      <c r="R139" s="654"/>
    </row>
    <row r="140" spans="2:18" s="25" customFormat="1" ht="41.25" customHeight="1" thickBot="1">
      <c r="B140" s="806" t="s">
        <v>214</v>
      </c>
      <c r="C140" s="807"/>
      <c r="D140" s="807"/>
      <c r="E140" s="808"/>
      <c r="F140" s="800">
        <f>IFERROR(H138+H139,"")</f>
        <v>3.7211949931985969E-2</v>
      </c>
      <c r="G140" s="801"/>
      <c r="H140" s="802"/>
      <c r="I140" s="330" t="str">
        <f>IF(F140="","",IF(F140&gt;=0,"Yes ✓","No ▲"))</f>
        <v>Yes ✓</v>
      </c>
      <c r="J140" s="157">
        <f t="shared" si="55"/>
        <v>0</v>
      </c>
      <c r="R140" s="654"/>
    </row>
    <row r="141" spans="2:18" s="25" customFormat="1">
      <c r="R141" s="654"/>
    </row>
    <row r="142" spans="2:18" s="25" customFormat="1">
      <c r="I142" s="434">
        <f>IF($H$138&gt;0,($H$139+$H$138),$H$139)</f>
        <v>3.7211949931985969E-2</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Midge Hall Car barn 3</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0</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5"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9">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0</v>
      </c>
      <c r="J59" s="819"/>
      <c r="K59" s="820"/>
      <c r="L59" s="864">
        <f>SUM(L39:N58)</f>
        <v>0</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5"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Midge Hall Car barn 3</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5"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5">
      <c r="C108" s="828" t="s">
        <v>259</v>
      </c>
      <c r="D108" s="976"/>
      <c r="E108" s="976"/>
      <c r="F108" s="976"/>
      <c r="G108" s="437">
        <f ca="1">$H$105</f>
        <v>0</v>
      </c>
      <c r="H108" s="431"/>
      <c r="J108" s="430"/>
      <c r="R108" s="654"/>
      <c r="AJ108" s="157"/>
      <c r="AK108" s="157"/>
      <c r="AL108" s="157"/>
      <c r="AM108" s="157"/>
      <c r="AN108" s="157"/>
    </row>
    <row r="109" spans="3:40" s="25" customFormat="1" ht="19"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8" t="s">
        <v>53</v>
      </c>
      <c r="C2" s="649"/>
      <c r="D2" s="638" t="str">
        <f>IF('2. Site Details'!D4="","Enter site name on 2. Site Details",'2. Site Details'!D4)</f>
        <v>Midge Hall Car barn 3</v>
      </c>
      <c r="E2" s="639"/>
      <c r="F2" s="497"/>
      <c r="G2" s="52"/>
      <c r="H2" s="52"/>
      <c r="I2" s="52"/>
      <c r="J2" s="52"/>
      <c r="K2" s="52"/>
      <c r="L2" s="52"/>
      <c r="M2" s="52"/>
      <c r="N2" s="52"/>
      <c r="O2" s="52"/>
      <c r="P2" s="52"/>
      <c r="Q2" s="52"/>
      <c r="R2" s="52"/>
      <c r="S2" s="52"/>
      <c r="T2" s="52"/>
      <c r="U2" s="52"/>
      <c r="V2" s="52"/>
      <c r="W2" s="52"/>
      <c r="X2" s="25"/>
    </row>
    <row r="3" spans="1:24" ht="24.65"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3" t="s">
        <v>266</v>
      </c>
      <c r="C11" s="273" t="s">
        <v>1046</v>
      </c>
      <c r="D11" s="484">
        <f>IF('5. Area Habitats'!L32=0,"Zero Units Baseline",'5. Area Habitats'!L32)</f>
        <v>0.36679999999999996</v>
      </c>
      <c r="E11" s="485"/>
      <c r="F11" s="491">
        <f>('2. Site Details'!$D$13/100)*$D$11</f>
        <v>3.6679999999999997E-2</v>
      </c>
      <c r="G11" s="379"/>
      <c r="H11" s="29"/>
      <c r="I11" s="29"/>
      <c r="J11" s="29"/>
      <c r="K11" s="29"/>
      <c r="L11" s="29"/>
      <c r="M11" s="29"/>
      <c r="N11" s="29"/>
      <c r="O11" s="29"/>
      <c r="P11" s="29"/>
      <c r="Q11" s="54"/>
      <c r="R11" s="29"/>
      <c r="S11" s="52"/>
      <c r="T11" s="52"/>
      <c r="U11" s="52"/>
      <c r="V11" s="52"/>
      <c r="W11" s="52"/>
      <c r="X11" s="25"/>
    </row>
    <row r="12" spans="1:24" ht="24.65"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3" t="s">
        <v>271</v>
      </c>
      <c r="C15" s="273" t="s">
        <v>1046</v>
      </c>
      <c r="D15" s="484">
        <f>'5. Area Habitats'!P3+'5. Area Habitats'!P4+'5. Area Habitats'!P1</f>
        <v>0.40401194993198591</v>
      </c>
      <c r="E15" s="485"/>
      <c r="F15" s="492">
        <f>D11+F11</f>
        <v>0.40347999999999995</v>
      </c>
      <c r="G15" s="29"/>
      <c r="H15" s="29"/>
      <c r="I15" s="29"/>
      <c r="J15" s="29"/>
      <c r="K15" s="29"/>
      <c r="L15" s="29"/>
      <c r="M15" s="29"/>
      <c r="N15" s="29"/>
      <c r="O15" s="29"/>
      <c r="P15" s="29"/>
      <c r="Q15" s="54"/>
      <c r="R15" s="29"/>
      <c r="S15" s="52"/>
      <c r="T15" s="52"/>
      <c r="U15" s="52"/>
      <c r="V15" s="52"/>
      <c r="W15" s="52"/>
      <c r="X15" s="25"/>
    </row>
    <row r="16" spans="1:24" ht="24.65"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3" t="s">
        <v>272</v>
      </c>
      <c r="C19" s="529" t="s">
        <v>1046</v>
      </c>
      <c r="D19" s="534">
        <f>'5. Area Habitats'!P5</f>
        <v>3.7211949931985955E-2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92" t="s">
        <v>273</v>
      </c>
      <c r="C23" s="529" t="s">
        <v>1046</v>
      </c>
      <c r="D23" s="538">
        <f>IF(D11="Zero Units Baseline","% target not appropriate",D19/D11)</f>
        <v>0.10145024517989629</v>
      </c>
      <c r="E23" s="539" t="str" cm="1">
        <f t="array" ref="E23">_xlfn.IFS(D23&gt;=F19,"✓",D23&lt;0,"▲", D23&lt;F19,"⚠")</f>
        <v>✓</v>
      </c>
      <c r="F23" s="491">
        <f>$D$23*100</f>
        <v>10.145024517989629</v>
      </c>
      <c r="G23" s="29"/>
      <c r="H23" s="29"/>
      <c r="I23" s="29"/>
      <c r="J23" s="29"/>
      <c r="K23" s="29"/>
      <c r="L23" s="29"/>
      <c r="M23" s="29"/>
      <c r="N23" s="29"/>
      <c r="O23" s="29"/>
      <c r="P23" s="29"/>
      <c r="Q23" s="54"/>
      <c r="R23" s="29"/>
      <c r="S23" s="52"/>
      <c r="T23" s="52"/>
      <c r="U23" s="52"/>
      <c r="V23" s="52"/>
      <c r="W23" s="52"/>
      <c r="X23" s="25"/>
    </row>
    <row r="24" spans="1:24" ht="24.65"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5"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0.36679999999999996</v>
      </c>
      <c r="D36" s="51">
        <f>D15</f>
        <v>0.40401194993198591</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2025-11-11T16:27:06Z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