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phoenixdp.local\data\Company\PDP Projects\678 Westbury Road, Warminster - Barratt Bristol\Admin\Nutrient Neutrality\"/>
    </mc:Choice>
  </mc:AlternateContent>
  <xr:revisionPtr revIDLastSave="0" documentId="13_ncr:1_{00103745-902F-41F6-95C7-9AD25FD38F12}"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38640" windowHeight="2112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G6" i="22" s="1"/>
  <c r="D7" i="22"/>
  <c r="G7" i="22" s="1"/>
  <c r="D8" i="22"/>
  <c r="G8" i="22" s="1"/>
  <c r="D9" i="22"/>
  <c r="G9" i="22" s="1"/>
  <c r="D10" i="22"/>
  <c r="D11" i="22"/>
  <c r="G11" i="22" s="1"/>
  <c r="D12" i="22"/>
  <c r="G12" i="22" s="1"/>
  <c r="D13" i="22"/>
  <c r="D14" i="22"/>
  <c r="D15" i="22"/>
  <c r="D16" i="22"/>
  <c r="D17" i="22"/>
  <c r="D18" i="22"/>
  <c r="D19" i="22"/>
  <c r="D20" i="22"/>
  <c r="D21" i="22"/>
  <c r="D22" i="22"/>
  <c r="D23" i="22"/>
  <c r="D24" i="22"/>
  <c r="D25" i="22"/>
  <c r="D26" i="22"/>
  <c r="D27" i="22"/>
  <c r="D28" i="22"/>
  <c r="D29" i="22"/>
  <c r="D5" i="22"/>
  <c r="G5" i="22" s="1"/>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3" i="22"/>
  <c r="G14" i="22"/>
  <c r="G15" i="22"/>
  <c r="G16" i="22"/>
  <c r="G17" i="22"/>
  <c r="G18" i="22"/>
  <c r="G1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<sst xmlns="http://schemas.openxmlformats.org/spreadsheetml/2006/main" count="1126" uniqueCount="425">
  <si>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</si>
  <si>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</si>
  <si>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</si>
  <si>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</si>
  <si>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</si>
  <si>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</si>
  <si>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</si>
  <si>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</si>
  <si>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</si>
  <si>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</si>
  <si>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</si>
  <si>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</si>
  <si>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</si>
  <si>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</si>
  <si>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</si>
  <si>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</si>
  <si>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</si>
  <si>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</si>
  <si>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</si>
  <si>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</si>
  <si>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</si>
  <si>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</si>
  <si>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</si>
  <si>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</si>
  <si>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</si>
  <si>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</si>
  <si>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</si>
  <si>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</si>
  <si>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</si>
  <si>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</si>
  <si>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</si>
  <si>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</si>
  <si>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</si>
  <si>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</si>
  <si>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</si>
  <si>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</si>
  <si>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</si>
  <si>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</si>
  <si>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</si>
  <si>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</si>
  <si>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</si>
  <si>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</si>
  <si>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</si>
  <si>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</si>
  <si>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</si>
  <si>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</si>
  <si>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</si>
  <si>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</si>
  <si>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</si>
  <si>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</si>
  <si>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</si>
  <si>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</si>
  <si>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</si>
  <si>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</si>
  <si>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</si>
  <si>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</si>
  <si>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</si>
  <si>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</si>
  <si>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</si>
  <si>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</si>
  <si>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</si>
  <si>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</si>
  <si>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</si>
  <si>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</si>
  <si>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</si>
  <si>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</si>
  <si>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</si>
  <si>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</si>
  <si>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</si>
  <si>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</si>
  <si>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</si>
  <si>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</si>
  <si>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</si>
  <si>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</si>
  <si>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</si>
  <si>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</si>
  <si>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</si>
  <si>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</si>
  <si>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</si>
  <si>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</si>
  <si>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</si>
  <si>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</si>
  <si>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</si>
  <si>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</si>
  <si>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</si>
  <si>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</si>
  <si>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</si>
  <si>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</si>
  <si>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</si>
  <si>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</si>
  <si>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</si>
  <si>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</si>
  <si>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</si>
  <si>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</si>
  <si>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</si>
  <si>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</si>
  <si>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</si>
  <si>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</si>
  <si>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</si>
  <si>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</si>
  <si>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</si>
  <si>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</si>
  <si>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</si>
  <si>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</si>
  <si>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</si>
  <si>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</si>
  <si>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</si>
  <si>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</si>
  <si>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</si>
  <si>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</si>
  <si>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</si>
  <si>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</si>
  <si>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</si>
  <si>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</si>
  <si>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</si>
  <si>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</si>
  <si>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</si>
  <si>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</si>
  <si>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</si>
  <si>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</si>
  <si>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</si>
  <si>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</si>
  <si>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</si>
  <si>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</si>
  <si>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</si>
  <si>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</si>
  <si>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</si>
  <si>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</si>
  <si>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</si>
  <si>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</si>
  <si>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</si>
  <si>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</si>
  <si>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</si>
  <si>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</si>
  <si>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</si>
  <si>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</si>
  <si>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</si>
  <si>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</si>
  <si>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</si>
  <si>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</si>
  <si>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</si>
  <si>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</si>
  <si>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</si>
  <si>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</si>
  <si>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</si>
  <si>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</si>
  <si>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</si>
  <si>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</si>
  <si>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</si>
  <si>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</si>
  <si>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</si>
  <si>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</si>
  <si>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</si>
  <si>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</si>
  <si>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</si>
  <si>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</si>
  <si>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</si>
  <si>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</si>
  <si>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</si>
  <si>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</si>
  <si>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</si>
  <si>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</si>
  <si>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</si>
  <si>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</si>
  <si>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</si>
  <si>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</si>
  <si>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</si>
  <si>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</si>
  <si>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</si>
  <si>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</si>
  <si>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</si>
  <si>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</si>
  <si>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</si>
  <si>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</si>
  <si>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</si>
  <si>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</si>
  <si>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</si>
  <si>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</si>
  <si>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</si>
  <si>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</si>
  <si>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</si>
  <si>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</si>
  <si>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</si>
  <si>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</si>
  <si>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</si>
  <si>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</si>
  <si>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</si>
  <si>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</si>
  <si>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</si>
  <si>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</si>
  <si>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</si>
  <si>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</si>
  <si>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</si>
  <si>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</si>
  <si>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</si>
  <si>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</si>
  <si>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</si>
  <si>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</si>
  <si>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</si>
  <si>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</si>
  <si>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</si>
  <si>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</si>
  <si>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</si>
  <si>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</si>
  <si>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</si>
  <si>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</si>
  <si>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</si>
  <si>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</si>
  <si>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</si>
  <si>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</si>
  <si>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</si>
  <si>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</si>
  <si>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</si>
  <si>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</si>
  <si>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</si>
  <si>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</si>
  <si>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</si>
  <si>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</si>
  <si>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</si>
  <si>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</si>
  <si>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</si>
  <si>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</si>
  <si>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</si>
  <si>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</si>
  <si>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</si>
  <si>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</si>
  <si>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</si>
  <si>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</si>
  <si>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</si>
  <si>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</si>
  <si>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</si>
  <si>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</si>
  <si>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</si>
  <si>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</si>
  <si>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</si>
  <si>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</si>
  <si>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</si>
  <si>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</si>
  <si>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</si>
  <si>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</si>
  <si>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</si>
  <si>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</si>
  <si>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</si>
  <si>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</si>
  <si>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</si>
  <si>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</si>
  <si>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</si>
  <si>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</si>
  <si>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</si>
  <si>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</si>
  <si>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</si>
  <si>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</si>
  <si>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</si>
  <si>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</si>
  <si>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</si>
  <si>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</si>
  <si>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</si>
  <si>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</si>
  <si>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</si>
  <si>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</si>
  <si>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</si>
  <si>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</si>
  <si>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</si>
  <si>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</si>
  <si>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</si>
  <si>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</si>
  <si>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</si>
  <si>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</si>
  <si>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</si>
  <si>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</si>
  <si>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</si>
  <si>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</si>
  <si>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</si>
  <si>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</si>
  <si>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</si>
  <si>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</si>
  <si>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</si>
  <si>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</si>
  <si>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</si>
  <si>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</si>
  <si>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</si>
  <si>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</si>
  <si>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</si>
  <si>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</si>
  <si>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</si>
  <si>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</si>
  <si>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</si>
  <si>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</si>
  <si>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</si>
  <si>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</si>
  <si>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</si>
  <si>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</si>
  <si>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</si>
  <si>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</si>
  <si>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</si>
  <si>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</si>
  <si>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</si>
  <si>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</si>
  <si>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</si>
  <si>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</si>
  <si>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</si>
  <si>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</si>
  <si>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</si>
  <si>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</si>
  <si>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</si>
  <si>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</si>
  <si>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</si>
  <si>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</si>
  <si>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</si>
  <si>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</si>
  <si>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</si>
  <si>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</si>
  <si>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</si>
  <si>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</si>
  <si>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</si>
  <si>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</si>
  <si>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</si>
  <si>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</si>
  <si>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</si>
  <si>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</si>
  <si>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</si>
  <si>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</si>
  <si>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</si>
  <si>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</si>
  <si>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</si>
  <si>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</si>
  <si>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</si>
  <si>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</si>
  <si>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</si>
  <si>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</si>
  <si>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</si>
  <si>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</si>
  <si>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</si>
  <si>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</si>
  <si>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</si>
  <si>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</si>
  <si>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</si>
  <si>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</si>
  <si>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</si>
  <si>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</si>
  <si>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</si>
  <si>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</si>
  <si>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</si>
  <si>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</si>
  <si>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</si>
  <si>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</si>
  <si>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</si>
  <si>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</si>
  <si>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</si>
  <si>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</si>
  <si>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</si>
  <si>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</si>
  <si>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</si>
  <si>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</si>
  <si>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</si>
  <si>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</si>
  <si>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</si>
  <si>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</si>
  <si>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</si>
  <si>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</si>
  <si>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</si>
  <si>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</si>
  <si>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</si>
  <si>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</si>
  <si>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</si>
  <si>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</si>
  <si>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</si>
  <si>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</si>
  <si>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</si>
  <si>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</si>
  <si>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</si>
  <si>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</si>
  <si>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</si>
  <si>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</si>
  <si>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</si>
  <si>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</si>
  <si>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</si>
  <si>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</si>
  <si>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</si>
  <si>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</si>
  <si>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</si>
  <si>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</si>
  <si>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</si>
  <si>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</si>
  <si>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</si>
  <si>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</si>
  <si>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</si>
  <si>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</si>
  <si>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</si>
  <si>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</si>
  <si>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</si>
  <si>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</si>
  <si>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</si>
  <si>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</si>
  <si>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</si>
  <si>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</si>
  <si>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</si>
  <si>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</si>
  <si>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</si>
  <si>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</si>
  <si>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</si>
  <si>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</si>
  <si>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</si>
  <si>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</si>
  <si>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</si>
  <si>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</si>
  <si>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</si>
  <si>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</si>
  <si>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</si>
  <si>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</si>
  <si>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</si>
  <si>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</si>
  <si>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</si>
  <si>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</si>
  <si>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</si>
  <si>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</si>
  <si>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</si>
  <si>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Soft landscaping in gardens - infiltration to ground (freely draining soils)</t>
  </si>
  <si>
    <t>Soft landscaping in commercial area - infiltration to ground (freely draining soils)</t>
  </si>
  <si>
    <t>Greenspace - infiltration to ground (freely draining soils)</t>
  </si>
  <si>
    <t>Allotments - infiltration to ground (freely draining soils)</t>
  </si>
  <si>
    <t>Open urban area (play areas and kickabout area) - infiltration to ground (freely draining soils)</t>
  </si>
  <si>
    <t>Residential urban area impemearable areas (roads, roofs and driveways) -Vortex Grit Separators &amp; Detention Basin</t>
  </si>
  <si>
    <t>Commercial/industrial urban area impemeable areas - Vortex Grit Separators &amp; Detention Basin</t>
  </si>
  <si>
    <t>Basin - no capture/treatment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</si>
</sst>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9"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80" zoomScaleNormal="80" workbookViewId="0">
      <selection activeCell="B7" sqref="B7"/>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46905</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205</v>
      </c>
      <c r="C8" s="19"/>
    </row>
    <row r="9" spans="1:5" ht="39.6" customHeight="1" x14ac:dyDescent="0.25">
      <c r="A9" s="18" t="s">
        <v>72</v>
      </c>
      <c r="B9" s="31" t="s">
        <v>157</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492</v>
      </c>
    </row>
    <row r="17" spans="1:2" ht="23.25" customHeight="1" x14ac:dyDescent="0.25">
      <c r="A17" s="26" t="s">
        <v>79</v>
      </c>
      <c r="B17" s="42">
        <f>IFERROR(B16*B7,0)</f>
        <v>59040</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4.8499999999999996</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9.6999999999999993</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376</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180</v>
      </c>
      <c r="B11" s="30">
        <v>7.44</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0.90162310898449893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t="s">
        <v>250</v>
      </c>
      <c r="B12" s="30">
        <v>3.01</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0.21640927952487329</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10.45</v>
      </c>
      <c r="C28" s="42">
        <f>SUM(C11:C27)</f>
        <v>1.1180323885093721</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90" zoomScaleNormal="90" workbookViewId="0">
      <selection activeCell="A10" sqref="A10"/>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4.96</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8.1907898774239971</v>
      </c>
    </row>
    <row r="6" spans="1:3" ht="23.25" customHeight="1" x14ac:dyDescent="0.2">
      <c r="A6" s="62" t="s">
        <v>350</v>
      </c>
      <c r="B6" s="63">
        <v>0.06</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7.2499123619999967E-2</v>
      </c>
    </row>
    <row r="7" spans="1:3" ht="23.25" customHeight="1" x14ac:dyDescent="0.2">
      <c r="A7" s="62" t="s">
        <v>344</v>
      </c>
      <c r="B7" s="63">
        <v>4.38</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8.7599999999999997E-2</v>
      </c>
    </row>
    <row r="8" spans="1:3" ht="23.25" customHeight="1" x14ac:dyDescent="0.2">
      <c r="A8" s="62" t="s">
        <v>345</v>
      </c>
      <c r="B8" s="63">
        <v>0.2</v>
      </c>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1.8414977561843439E-2</v>
      </c>
    </row>
    <row r="9" spans="1:3" ht="23.25" customHeight="1" x14ac:dyDescent="0.2">
      <c r="A9" s="62" t="s">
        <v>348</v>
      </c>
      <c r="B9" s="63">
        <v>0.54</v>
      </c>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t="s">
        <v>351</v>
      </c>
      <c r="B10" s="63">
        <v>0.31</v>
      </c>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0.27469112393799988</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10.449999999999998</v>
      </c>
      <c r="C22" s="56">
        <f>SUM(C5:C21)</f>
        <v>8.6439951025438404</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90" zoomScaleNormal="90" workbookViewId="0">
      <selection activeCell="E12" sqref="E12"/>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3.17</v>
      </c>
      <c r="C5" s="70">
        <v>100</v>
      </c>
      <c r="D5" s="50">
        <f>IFERROR(IF(ISBLANK(A5),0,IF(ISBLANK(B5),0,VLOOKUP(A5,Nutrients_from_future_land_use!$A$5:$C$21,3,FALSE)*(B5/VLOOKUP(A5,Nutrients_from_future_land_use!$A$5:$C$21,2,FALSE)))),0)</f>
        <v>5.2348394982729989</v>
      </c>
      <c r="E5" s="70" t="s">
        <v>422</v>
      </c>
      <c r="F5" s="70">
        <v>36.6</v>
      </c>
      <c r="G5" s="50">
        <f>IFERROR(IF(OR(ISBLANK($A5),ISBLANK($B5),ISBLANK($F5)),0,$C5/100*D5*F5/100),0)</f>
        <v>1.9159512563679177</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t="s">
        <v>344</v>
      </c>
      <c r="B6" s="63">
        <v>1.79</v>
      </c>
      <c r="C6" s="70">
        <v>100</v>
      </c>
      <c r="D6" s="50">
        <f>IFERROR(IF(ISBLANK(A6),0,IF(ISBLANK(B6),0,VLOOKUP(A6,Nutrients_from_future_land_use!$A$5:$C$21,3,FALSE)*(B6/VLOOKUP(A6,Nutrients_from_future_land_use!$A$5:$C$21,2,FALSE)))),0)</f>
        <v>3.5799999999999998E-2</v>
      </c>
      <c r="E6" s="70" t="s">
        <v>417</v>
      </c>
      <c r="F6" s="70">
        <v>100</v>
      </c>
      <c r="G6" s="50">
        <f t="shared" ref="G6:G29" si="0">IFERROR(IF(OR(ISBLANK($A6),ISBLANK($B6),ISBLANK($F6)),0,$C6/100*D6*F6/100),0)</f>
        <v>3.5799999999999998E-2</v>
      </c>
      <c r="H6" s="74" t="str">
        <f>IF(SUMIFS($B$5:$B$29,$A$5:$A$29,A6)&gt;SUMIFS(Nutrients_from_future_land_use!$B$5:$B$21,Nutrients_from_future_land_use!$A$5:$A$21,A6),"Area of new land covers within SuDS catchment area exceeds the area of new land covers proposed","Not applicable")</f>
        <v>Area of new land covers within SuDS catchment area exceeds the area of new land covers proposed</v>
      </c>
    </row>
    <row r="7" spans="1:11" ht="36" customHeight="1" x14ac:dyDescent="0.25">
      <c r="A7" s="62" t="s">
        <v>350</v>
      </c>
      <c r="B7" s="63">
        <v>0.04</v>
      </c>
      <c r="C7" s="70">
        <v>100</v>
      </c>
      <c r="D7" s="50">
        <f>IFERROR(IF(ISBLANK(A7),0,IF(ISBLANK(B7),0,VLOOKUP(A7,Nutrients_from_future_land_use!$A$5:$C$21,3,FALSE)*(B7/VLOOKUP(A7,Nutrients_from_future_land_use!$A$5:$C$21,2,FALSE)))),0)</f>
        <v>4.833274907999998E-2</v>
      </c>
      <c r="E7" s="70" t="s">
        <v>423</v>
      </c>
      <c r="F7" s="70">
        <v>36.6</v>
      </c>
      <c r="G7" s="50">
        <f t="shared" si="0"/>
        <v>1.7689786163279993E-2</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t="s">
        <v>344</v>
      </c>
      <c r="B8" s="63">
        <v>0.02</v>
      </c>
      <c r="C8" s="70">
        <v>100</v>
      </c>
      <c r="D8" s="50">
        <f>IFERROR(IF(ISBLANK(A8),0,IF(ISBLANK(B8),0,VLOOKUP(A8,Nutrients_from_future_land_use!$A$5:$C$21,3,FALSE)*(B8/VLOOKUP(A8,Nutrients_from_future_land_use!$A$5:$C$21,2,FALSE)))),0)</f>
        <v>4.0000000000000002E-4</v>
      </c>
      <c r="E8" s="70" t="s">
        <v>418</v>
      </c>
      <c r="F8" s="70">
        <v>100</v>
      </c>
      <c r="G8" s="50">
        <f t="shared" si="0"/>
        <v>4.0000000000000002E-4</v>
      </c>
      <c r="H8" s="74" t="str">
        <f>IF(SUMIFS($B$5:$B$29,$A$5:$A$29,A8)&gt;SUMIFS(Nutrients_from_future_land_use!$B$5:$B$21,Nutrients_from_future_land_use!$A$5:$A$21,A8),"Area of new land covers within SuDS catchment area exceeds the area of new land covers proposed","Not applicable")</f>
        <v>Area of new land covers within SuDS catchment area exceeds the area of new land covers proposed</v>
      </c>
    </row>
    <row r="9" spans="1:11" ht="36" customHeight="1" x14ac:dyDescent="0.25">
      <c r="A9" s="62" t="s">
        <v>344</v>
      </c>
      <c r="B9" s="63">
        <v>4.38</v>
      </c>
      <c r="C9" s="70">
        <v>100</v>
      </c>
      <c r="D9" s="50">
        <f>IFERROR(IF(ISBLANK(A9),0,IF(ISBLANK(B9),0,VLOOKUP(A9,Nutrients_from_future_land_use!$A$5:$C$21,3,FALSE)*(B9/VLOOKUP(A9,Nutrients_from_future_land_use!$A$5:$C$21,2,FALSE)))),0)</f>
        <v>8.7599999999999997E-2</v>
      </c>
      <c r="E9" s="70" t="s">
        <v>419</v>
      </c>
      <c r="F9" s="70">
        <v>100</v>
      </c>
      <c r="G9" s="50">
        <f t="shared" si="0"/>
        <v>8.7599999999999997E-2</v>
      </c>
      <c r="H9" s="74" t="str">
        <f>IF(SUMIFS($B$5:$B$29,$A$5:$A$29,A9)&gt;SUMIFS(Nutrients_from_future_land_use!$B$5:$B$21,Nutrients_from_future_land_use!$A$5:$A$21,A9),"Area of new land covers within SuDS catchment area exceeds the area of new land covers proposed","Not applicable")</f>
        <v>Area of new land covers within SuDS catchment area exceeds the area of new land covers proposed</v>
      </c>
      <c r="K9" s="67"/>
    </row>
    <row r="10" spans="1:11" ht="36" customHeight="1" x14ac:dyDescent="0.25">
      <c r="A10" s="62" t="s">
        <v>345</v>
      </c>
      <c r="B10" s="63">
        <v>0.2</v>
      </c>
      <c r="C10" s="70">
        <v>100</v>
      </c>
      <c r="D10" s="50">
        <f>IFERROR(IF(ISBLANK(A10),0,IF(ISBLANK(B10),0,VLOOKUP(A10,Nutrients_from_future_land_use!$A$5:$C$21,3,FALSE)*(B10/VLOOKUP(A10,Nutrients_from_future_land_use!$A$5:$C$21,2,FALSE)))),0)</f>
        <v>1.8414977561843439E-2</v>
      </c>
      <c r="E10" s="70" t="s">
        <v>420</v>
      </c>
      <c r="F10" s="70">
        <v>100</v>
      </c>
      <c r="G10" s="50">
        <f t="shared" si="0"/>
        <v>1.8414977561843439E-2</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t="s">
        <v>348</v>
      </c>
      <c r="B11" s="63">
        <v>0.54</v>
      </c>
      <c r="C11" s="70">
        <v>0</v>
      </c>
      <c r="D11" s="50">
        <f>IFERROR(IF(ISBLANK(A11),0,IF(ISBLANK(B11),0,VLOOKUP(A11,Nutrients_from_future_land_use!$A$5:$C$21,3,FALSE)*(B11/VLOOKUP(A11,Nutrients_from_future_land_use!$A$5:$C$21,2,FALSE)))),0)</f>
        <v>0</v>
      </c>
      <c r="E11" s="70" t="s">
        <v>424</v>
      </c>
      <c r="F11" s="70">
        <v>0</v>
      </c>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t="s">
        <v>351</v>
      </c>
      <c r="B12" s="63">
        <v>0.31</v>
      </c>
      <c r="C12" s="70">
        <v>100</v>
      </c>
      <c r="D12" s="50">
        <f>IFERROR(IF(ISBLANK(A12),0,IF(ISBLANK(B12),0,VLOOKUP(A12,Nutrients_from_future_land_use!$A$5:$C$21,3,FALSE)*(B12/VLOOKUP(A12,Nutrients_from_future_land_use!$A$5:$C$21,2,FALSE)))),0)</f>
        <v>0.27469112393799988</v>
      </c>
      <c r="E12" s="70" t="s">
        <v>421</v>
      </c>
      <c r="F12" s="70">
        <v>100</v>
      </c>
      <c r="G12" s="50">
        <f t="shared" si="0"/>
        <v>0.27469112393799988</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10.449999999999998</v>
      </c>
      <c r="C30" s="71"/>
      <c r="D30" s="68">
        <f t="shared" ref="D30" si="1">SUM(D5:D29)</f>
        <v>5.700078348852843</v>
      </c>
      <c r="E30" s="72"/>
      <c r="F30" s="72"/>
      <c r="G30" s="56">
        <f>SUM(G5:G29)</f>
        <v>2.350547144031041</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4.8499999999999996</v>
      </c>
    </row>
    <row r="6" spans="1:4" ht="24.75" customHeight="1" x14ac:dyDescent="0.25">
      <c r="A6" s="18" t="s">
        <v>111</v>
      </c>
      <c r="B6" s="78">
        <f>IFERROR(Nutrients_from_future_land_use!C22-SuDS!G30-Nutrients_from_current_land_use!C28,0)</f>
        <v>5.1754155700034268</v>
      </c>
    </row>
    <row r="7" spans="1:4" ht="24.75" customHeight="1" x14ac:dyDescent="0.25">
      <c r="A7" s="18" t="s">
        <v>112</v>
      </c>
      <c r="B7" s="78">
        <f>IFERROR(B5+B6,0)</f>
        <v>10.025415570003426</v>
      </c>
    </row>
    <row r="8" spans="1:4" ht="24.75" customHeight="1" x14ac:dyDescent="0.25">
      <c r="A8" s="18" t="s">
        <v>113</v>
      </c>
      <c r="B8" s="78">
        <f>IFERROR(IF(B7&lt;0,B7,B7*1.2),0)</f>
        <v>12.030498684004112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12.03</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17.850000000000001</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5"/>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A285">_xlfn._xlws.SORT(_xlfn.UNIQUE(_xlfn._xlws.FILTER(Nutrients_from_future_land_use!$A$5:$A$21,Nutrients_from_future_land_use!$A$5:$A$21&lt;&gt;"")))</f>
        <v>Commercial/industrial urban land</v>
      </c>
    </row>
    <row r="281" spans="1:1" x14ac:dyDescent="0.2">
      <c r="A281" s="88" t="str">
        <v>Community food growing</v>
      </c>
    </row>
    <row r="282" spans="1:1" x14ac:dyDescent="0.2">
      <c r="A282" s="88" t="str">
        <v>Greenspace</v>
      </c>
    </row>
    <row r="283" spans="1:1" x14ac:dyDescent="0.2">
      <c r="A283" s="88" t="str">
        <v>Open urban land</v>
      </c>
    </row>
    <row r="284" spans="1:1" x14ac:dyDescent="0.2">
      <c r="A284" s="88" t="str">
        <v>Residential urban land</v>
      </c>
    </row>
    <row r="285" spans="1:1" x14ac:dyDescent="0.2">
      <c r="A285" s="88" t="str">
        <v>Water</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 Cameron</dc:creator>
  <cp:keywords/>
  <dc:description/>
  <cp:lastModifiedBy>George Ballard</cp:lastModifiedBy>
  <cp:revision/>
  <dcterms:created xsi:type="dcterms:W3CDTF">2021-10-14T13:24:34Z</dcterms:created>
  <dcterms:modified xsi:type="dcterms:W3CDTF">2025-11-11T18:26:46Z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