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L:\shared data\Helen\3000\KCC3092 Elms Farm\Repeat Application December 2025\Draft application package\"/>
    </mc:Choice>
  </mc:AlternateContent>
  <xr:revisionPtr revIDLastSave="0" documentId="8_{C682BD22-FA7C-4E51-B1CC-3FB022729AFE}"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720" tabRatio="730" firstSheet="2" activeTab="8"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<sst xmlns="http://schemas.openxmlformats.org/spreadsheetml/2006/main" count="3161" uniqueCount="1060">
  <si>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</si>
  <si>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</si>
  <si>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</si>
  <si>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</si>
  <si>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</si>
  <si>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</si>
  <si>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</si>
  <si>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</si>
  <si>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</si>
  <si>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</si>
  <si>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</si>
  <si>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</si>
  <si>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</si>
  <si>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</si>
  <si>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</si>
  <si>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</si>
  <si>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</si>
  <si>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</si>
  <si>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</si>
  <si>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</si>
  <si>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</si>
  <si>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</si>
  <si>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</si>
  <si>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</si>
  <si>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</si>
  <si>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</si>
  <si>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</si>
  <si>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</si>
  <si>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</si>
  <si>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</si>
  <si>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</si>
  <si>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</si>
  <si>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</si>
  <si>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</si>
  <si>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</si>
  <si>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</si>
  <si>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</si>
  <si>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</si>
  <si>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</si>
  <si>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</si>
  <si>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</si>
  <si>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</si>
  <si>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</si>
  <si>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</si>
  <si>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</si>
  <si>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</si>
  <si>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</si>
  <si>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</si>
  <si>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</si>
  <si>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</si>
  <si>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</si>
  <si>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</si>
  <si>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</si>
  <si>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</si>
  <si>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</si>
  <si>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</si>
  <si>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</si>
  <si>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</si>
  <si>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</si>
  <si>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</si>
  <si>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</si>
  <si>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</si>
  <si>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</si>
  <si>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</si>
  <si>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</si>
  <si>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</si>
  <si>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</si>
  <si>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</si>
  <si>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</si>
  <si>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</si>
  <si>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</si>
  <si>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</si>
  <si>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</si>
  <si>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</si>
  <si>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</si>
  <si>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</si>
  <si>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</si>
  <si>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</si>
  <si>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</si>
  <si>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</si>
  <si>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</si>
  <si>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</si>
  <si>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</si>
  <si>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</si>
  <si>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</si>
  <si>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</si>
  <si>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</si>
  <si>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</si>
  <si>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</si>
  <si>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</si>
  <si>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</si>
  <si>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</si>
  <si>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</si>
  <si>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</si>
  <si>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</si>
  <si>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</si>
  <si>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</si>
  <si>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</si>
  <si>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</si>
  <si>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</si>
  <si>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</si>
  <si>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</si>
  <si>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</si>
  <si>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</si>
  <si>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</si>
  <si>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</si>
  <si>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</si>
  <si>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</si>
  <si>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</si>
  <si>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</si>
  <si>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</si>
  <si>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</si>
  <si>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</si>
  <si>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</si>
  <si>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</si>
  <si>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</si>
  <si>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</si>
  <si>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</si>
  <si>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</si>
  <si>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</si>
  <si>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</si>
  <si>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</si>
  <si>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</si>
  <si>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</si>
  <si>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</si>
  <si>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</si>
  <si>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</si>
  <si>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</si>
  <si>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</si>
  <si>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</si>
  <si>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</si>
  <si>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</si>
  <si>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</si>
  <si>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</si>
  <si>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</si>
  <si>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</si>
  <si>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</si>
  <si>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</si>
  <si>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</si>
  <si>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</si>
  <si>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</si>
  <si>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</si>
  <si>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</si>
  <si>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</si>
  <si>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</si>
  <si>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</si>
  <si>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</si>
  <si>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</si>
  <si>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</si>
  <si>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</si>
  <si>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</si>
  <si>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</si>
  <si>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</si>
  <si>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</si>
  <si>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</si>
  <si>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</si>
  <si>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</si>
  <si>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</si>
  <si>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</si>
  <si>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</si>
  <si>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</si>
  <si>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</si>
  <si>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</si>
  <si>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</si>
  <si>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</si>
  <si>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</si>
  <si>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</si>
  <si>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</si>
  <si>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</si>
  <si>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</si>
  <si>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</si>
  <si>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</si>
  <si>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</si>
  <si>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</si>
  <si>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</si>
  <si>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</si>
  <si>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</si>
  <si>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</si>
  <si>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</si>
  <si>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</si>
  <si>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</si>
  <si>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</si>
  <si>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</si>
  <si>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</si>
  <si>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</si>
  <si>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</si>
  <si>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</si>
  <si>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</si>
  <si>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</si>
  <si>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</si>
  <si>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</si>
  <si>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</si>
  <si>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</si>
  <si>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</si>
  <si>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</si>
  <si>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</si>
  <si>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</si>
  <si>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</si>
  <si>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</si>
  <si>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</si>
  <si>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</si>
  <si>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</si>
  <si>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</si>
  <si>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</si>
  <si>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</si>
  <si>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</si>
  <si>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</si>
  <si>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</si>
  <si>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</si>
  <si>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</si>
  <si>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</si>
  <si>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</si>
  <si>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</si>
  <si>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</si>
  <si>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</si>
  <si>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</si>
  <si>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</si>
  <si>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</si>
  <si>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</si>
  <si>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</si>
  <si>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</si>
  <si>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</si>
  <si>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</si>
  <si>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</si>
  <si>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</si>
  <si>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</si>
  <si>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</si>
  <si>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</si>
  <si>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</si>
  <si>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</si>
  <si>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</si>
  <si>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</si>
  <si>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</si>
  <si>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</si>
  <si>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</si>
  <si>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</si>
  <si>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</si>
  <si>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</si>
  <si>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</si>
  <si>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</si>
  <si>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</si>
  <si>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</si>
  <si>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</si>
  <si>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</si>
  <si>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</si>
  <si>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</si>
  <si>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</si>
  <si>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</si>
  <si>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</si>
  <si>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</si>
  <si>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</si>
  <si>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</si>
  <si>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</si>
  <si>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</si>
  <si>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</si>
  <si>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</si>
  <si>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</si>
  <si>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</si>
  <si>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</si>
  <si>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</si>
  <si>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</si>
  <si>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</si>
  <si>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</si>
  <si>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</si>
  <si>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</si>
  <si>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</si>
  <si>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</si>
  <si>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</si>
  <si>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</si>
  <si>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</si>
  <si>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</si>
  <si>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</si>
  <si>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</si>
  <si>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</si>
  <si>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</si>
  <si>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</si>
  <si>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</si>
  <si>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</si>
  <si>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</si>
  <si>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</si>
  <si>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</si>
  <si>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</si>
  <si>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</si>
  <si>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</si>
  <si>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</si>
  <si>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</si>
  <si>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</si>
  <si>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</si>
  <si>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</si>
  <si>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</si>
  <si>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</si>
  <si>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</si>
  <si>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</si>
  <si>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</si>
  <si>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</si>
  <si>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</si>
  <si>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</si>
  <si>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</si>
  <si>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</si>
  <si>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</si>
  <si>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</si>
  <si>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</si>
  <si>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</si>
  <si>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</si>
  <si>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</si>
  <si>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</si>
  <si>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</si>
  <si>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</si>
  <si>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</si>
  <si>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</si>
  <si>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</si>
  <si>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</si>
  <si>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</si>
  <si>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</si>
  <si>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</si>
  <si>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</si>
  <si>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</si>
  <si>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</si>
  <si>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</si>
  <si>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</si>
  <si>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</si>
  <si>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</si>
  <si>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</si>
  <si>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</si>
  <si>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</si>
  <si>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</si>
  <si>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</si>
  <si>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</si>
  <si>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</si>
  <si>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</si>
  <si>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</si>
  <si>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</si>
  <si>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</si>
  <si>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</si>
  <si>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</si>
  <si>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</si>
  <si>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</si>
  <si>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</si>
  <si>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</si>
  <si>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</si>
  <si>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</si>
  <si>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</si>
  <si>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</si>
  <si>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</si>
  <si>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</si>
  <si>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</si>
  <si>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</si>
  <si>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</si>
  <si>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</si>
  <si>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</si>
  <si>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</si>
  <si>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</si>
  <si>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</si>
  <si>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</si>
  <si>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</si>
  <si>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</si>
  <si>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</si>
  <si>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</si>
  <si>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</si>
  <si>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</si>
  <si>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</si>
  <si>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</si>
  <si>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</si>
  <si>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</si>
  <si>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</si>
  <si>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</si>
  <si>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</si>
  <si>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</si>
  <si>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</si>
  <si>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</si>
  <si>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</si>
  <si>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</si>
  <si>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</si>
  <si>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</si>
  <si>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</si>
  <si>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</si>
  <si>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</si>
  <si>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</si>
  <si>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</si>
  <si>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</si>
  <si>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</si>
  <si>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</si>
  <si>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</si>
  <si>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</si>
  <si>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</si>
  <si>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</si>
  <si>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</si>
  <si>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</si>
  <si>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</si>
  <si>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</si>
  <si>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</si>
  <si>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</si>
  <si>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</si>
  <si>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</si>
  <si>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</si>
  <si>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</si>
  <si>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</si>
  <si>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</si>
  <si>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</si>
  <si>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</si>
  <si>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</si>
  <si>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</si>
  <si>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</si>
  <si>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</si>
  <si>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</si>
  <si>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</si>
  <si>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</si>
  <si>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</si>
  <si>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</si>
  <si>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</si>
  <si>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</si>
  <si>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</si>
  <si>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</si>
  <si>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</si>
  <si>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</si>
  <si>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</si>
  <si>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</si>
  <si>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</si>
  <si>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</si>
  <si>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</si>
  <si>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</si>
  <si>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</si>
  <si>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</si>
  <si>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</si>
  <si>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</si>
  <si>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</si>
  <si>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</si>
  <si>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</si>
  <si>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</si>
  <si>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</si>
  <si>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</si>
  <si>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</si>
  <si>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</si>
  <si>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</si>
  <si>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</si>
  <si>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</si>
  <si>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</si>
  <si>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</si>
  <si>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</si>
  <si>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</si>
  <si>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</si>
  <si>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</si>
  <si>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</si>
  <si>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</si>
  <si>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</si>
  <si>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</si>
  <si>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</si>
  <si>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</si>
  <si>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</si>
  <si>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</si>
  <si>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</si>
  <si>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</si>
  <si>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</si>
  <si>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</si>
  <si>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</si>
  <si>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</si>
  <si>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</si>
  <si>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</si>
  <si>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</si>
  <si>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</si>
  <si>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</si>
  <si>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</si>
  <si>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</si>
  <si>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</si>
  <si>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</si>
  <si>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</si>
  <si>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</si>
  <si>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</si>
  <si>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</si>
  <si>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</si>
  <si>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</si>
  <si>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</si>
  <si>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</si>
  <si>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</si>
  <si>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</si>
  <si>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</si>
  <si>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</si>
  <si>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</si>
  <si>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</si>
  <si>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</si>
  <si>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</si>
  <si>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</si>
  <si>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</si>
  <si>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</si>
  <si>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</si>
  <si>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</si>
  <si>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</si>
  <si>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</si>
  <si>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</si>
  <si>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</si>
  <si>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</si>
  <si>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</si>
  <si>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</si>
  <si>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</si>
  <si>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</si>
  <si>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</si>
  <si>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</si>
  <si>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</si>
  <si>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</si>
  <si>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</si>
  <si>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</si>
  <si>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</si>
  <si>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</si>
  <si>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</si>
  <si>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</si>
  <si>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</si>
  <si>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</si>
  <si>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</si>
  <si>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</si>
  <si>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</si>
  <si>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</si>
  <si>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</si>
  <si>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</si>
  <si>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</si>
  <si>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</si>
  <si>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</si>
  <si>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</si>
  <si>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</si>
  <si>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</si>
  <si>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</si>
  <si>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</si>
  <si>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</si>
  <si>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</si>
  <si>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</si>
  <si>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</si>
  <si>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</si>
  <si>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</si>
  <si>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</si>
  <si>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</si>
  <si>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</si>
  <si>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</si>
  <si>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</si>
  <si>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</si>
  <si>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</si>
  <si>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</si>
  <si>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</si>
  <si>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</si>
  <si>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</si>
  <si>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</si>
  <si>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</si>
  <si>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</si>
  <si>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</si>
  <si>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</si>
  <si>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</si>
  <si>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</si>
  <si>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</si>
  <si>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</si>
  <si>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</si>
  <si>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</si>
  <si>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</si>
  <si>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</si>
  <si>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</si>
  <si>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</si>
  <si>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</si>
  <si>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</si>
  <si>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</si>
  <si>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</si>
  <si>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</si>
  <si>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</si>
  <si>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</si>
  <si>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</si>
  <si>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</si>
  <si>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</si>
  <si>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</si>
  <si>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</si>
  <si>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</si>
  <si>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</si>
  <si>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</si>
  <si>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</si>
  <si>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</si>
  <si>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</si>
  <si>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</si>
  <si>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</si>
  <si>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</si>
  <si>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</si>
  <si>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</si>
  <si>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</si>
  <si>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</si>
  <si>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</si>
  <si>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</si>
  <si>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</si>
  <si>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</si>
  <si>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</si>
  <si>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</si>
  <si>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</si>
  <si>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</si>
  <si>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</si>
  <si>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</si>
  <si>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</si>
  <si>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</si>
  <si>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</si>
  <si>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</si>
  <si>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</si>
  <si>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</si>
  <si>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</si>
  <si>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</si>
  <si>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</si>
  <si>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</si>
  <si>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</si>
  <si>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</si>
  <si>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</si>
  <si>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</si>
  <si>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</si>
  <si>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</si>
  <si>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</si>
  <si>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</si>
  <si>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</si>
  <si>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</si>
  <si>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</si>
  <si>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</si>
  <si>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</si>
  <si>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</si>
  <si>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</si>
  <si>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</si>
  <si>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</si>
  <si>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</si>
  <si>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</si>
  <si>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</si>
  <si>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</si>
  <si>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</si>
  <si>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</si>
  <si>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</si>
  <si>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</si>
  <si>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</si>
  <si>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</si>
  <si>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</si>
  <si>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</si>
  <si>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</si>
  <si>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</si>
  <si>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</si>
  <si>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</si>
  <si>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</si>
  <si>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</si>
  <si>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</si>
  <si>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</si>
  <si>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</si>
  <si>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</si>
  <si>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</si>
  <si>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</si>
  <si>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</si>
  <si>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</si>
  <si>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</si>
  <si>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</si>
  <si>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</si>
  <si>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</si>
  <si>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</si>
  <si>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</si>
  <si>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</si>
  <si>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</si>
  <si>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</si>
  <si>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</si>
  <si>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</si>
  <si>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</si>
  <si>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</si>
  <si>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</si>
  <si>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</si>
  <si>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</si>
  <si>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</si>
  <si>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</si>
  <si>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</si>
  <si>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</si>
  <si>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</si>
  <si>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</si>
  <si>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</si>
  <si>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</si>
  <si>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</si>
  <si>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</si>
  <si>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</si>
  <si>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</si>
  <si>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</si>
  <si>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</si>
  <si>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</si>
  <si>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</si>
  <si>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</si>
  <si>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</si>
  <si>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</si>
  <si>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</si>
  <si>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</si>
  <si>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</si>
  <si>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</si>
  <si>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</si>
  <si>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</si>
  <si>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</si>
  <si>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</si>
  <si>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</si>
  <si>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</si>
  <si>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</si>
  <si>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</si>
  <si>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</si>
  <si>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</si>
  <si>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</si>
  <si>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</si>
  <si>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</si>
  <si>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</si>
  <si>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</si>
  <si>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</si>
  <si>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</si>
  <si>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</si>
  <si>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</si>
  <si>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</si>
  <si>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</si>
  <si>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</si>
  <si>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</si>
  <si>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</si>
  <si>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</si>
  <si>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</si>
  <si>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</si>
  <si>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</si>
  <si>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</si>
  <si>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</si>
  <si>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</si>
  <si>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</si>
  <si>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</si>
  <si>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</si>
  <si>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</si>
  <si>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</si>
  <si>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</si>
  <si>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</si>
  <si>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</si>
  <si>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</si>
  <si>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</si>
  <si>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</si>
  <si>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</si>
  <si>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</si>
  <si>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</si>
  <si>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</si>
  <si>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</si>
  <si>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</si>
  <si>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</si>
  <si>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</si>
  <si>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</si>
  <si>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</si>
  <si>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</si>
  <si>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</si>
  <si>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</si>
  <si>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</si>
  <si>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</si>
  <si>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</si>
  <si>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</si>
  <si>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</si>
  <si>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</si>
  <si>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</si>
  <si>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</si>
  <si>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</si>
  <si>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</si>
  <si>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</si>
  <si>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</si>
  <si>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</si>
  <si>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</si>
  <si>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</si>
  <si>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</si>
  <si>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</si>
  <si>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</si>
  <si>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</si>
  <si>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</si>
  <si>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</si>
  <si>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</si>
  <si>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</si>
  <si>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</si>
  <si>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</si>
  <si>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</si>
  <si>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</si>
  <si>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</si>
  <si>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</si>
  <si>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</si>
  <si>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</si>
  <si>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</si>
  <si>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</si>
  <si>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</si>
  <si>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</si>
  <si>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</si>
  <si>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</si>
  <si>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</si>
  <si>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</si>
  <si>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</si>
  <si>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</si>
  <si>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</si>
  <si>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</si>
  <si>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</si>
  <si>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</si>
  <si>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</si>
  <si>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</si>
  <si>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</si>
  <si>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</si>
  <si>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</si>
  <si>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</si>
  <si>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</si>
  <si>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</si>
  <si>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</si>
  <si>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</si>
  <si>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</si>
  <si>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</si>
  <si>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</si>
  <si>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</si>
  <si>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</si>
  <si>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</si>
  <si>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</si>
  <si>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</si>
  <si>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</si>
  <si>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</si>
  <si>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</si>
  <si>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</si>
  <si>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</si>
  <si>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</si>
  <si>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</si>
  <si>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</si>
  <si>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</si>
  <si>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</si>
  <si>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</si>
  <si>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</si>
  <si>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</si>
  <si>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</si>
  <si>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</si>
  <si>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</si>
  <si>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</si>
  <si>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</si>
  <si>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</si>
  <si>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</si>
  <si>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</si>
  <si>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</si>
  <si>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</si>
  <si>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</si>
  <si>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</si>
  <si>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</si>
  <si>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</si>
  <si>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</si>
  <si>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</si>
  <si>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</si>
  <si>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</si>
  <si>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</si>
  <si>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</si>
  <si>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</si>
  <si>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</si>
  <si>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</si>
  <si>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</si>
  <si>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</si>
  <si>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</si>
  <si>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</si>
  <si>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</si>
  <si>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</si>
  <si>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</si>
  <si>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</si>
  <si>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</si>
  <si>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</si>
  <si>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</si>
  <si>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</si>
  <si>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</si>
  <si>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</si>
  <si>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</si>
  <si>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</si>
  <si>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</si>
  <si>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</si>
  <si>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</si>
  <si>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</si>
  <si>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</si>
  <si>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</si>
  <si>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</si>
  <si>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</si>
  <si>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</si>
  <si>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</si>
  <si>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</si>
  <si>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</si>
  <si>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</si>
  <si>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</si>
  <si>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</si>
  <si>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</si>
  <si>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</si>
  <si>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</si>
  <si>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</si>
  <si>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</si>
  <si>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</si>
  <si>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</si>
  <si>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</si>
  <si>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</si>
  <si>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</si>
  <si>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</si>
  <si>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</si>
  <si>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</si>
  <si>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</si>
  <si>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</si>
  <si>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</si>
  <si>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</si>
  <si>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</si>
  <si>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</si>
  <si>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</si>
  <si>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</si>
  <si>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</si>
  <si>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</si>
  <si>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</si>
  <si>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</si>
  <si>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</si>
  <si>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</si>
  <si>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</si>
  <si>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</si>
  <si>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</si>
  <si>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</si>
  <si>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</si>
  <si>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</si>
  <si>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</si>
  <si>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</si>
  <si>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</si>
  <si>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</si>
  <si>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</si>
  <si>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</si>
  <si>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</si>
  <si>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</si>
  <si>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</si>
  <si>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</si>
  <si>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</si>
  <si>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</si>
  <si>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</si>
  <si>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</si>
  <si>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</si>
  <si>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</si>
  <si>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</si>
  <si>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</si>
  <si>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</si>
  <si>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</si>
  <si>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</si>
  <si>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</si>
  <si>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</si>
  <si>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</si>
  <si>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</si>
  <si>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</si>
  <si>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</si>
  <si>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</si>
  <si>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</si>
  <si>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</si>
  <si>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</si>
  <si>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</si>
  <si>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</si>
  <si>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</si>
  <si>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</si>
  <si>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</si>
  <si>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</si>
  <si>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</si>
  <si>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</si>
  <si>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</si>
  <si>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</si>
  <si>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</si>
  <si>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</si>
  <si>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</si>
  <si>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</si>
  <si>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</si>
  <si>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</si>
  <si>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</si>
  <si>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</si>
  <si>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</si>
  <si>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</si>
  <si>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</si>
  <si>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</si>
  <si>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</si>
  <si>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</si>
  <si>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</si>
  <si>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</si>
  <si>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</si>
  <si>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</si>
  <si>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</si>
  <si>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</si>
  <si>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</si>
  <si>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</si>
  <si>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</si>
  <si>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</si>
  <si>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</si>
  <si>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</si>
  <si>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</si>
  <si>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</si>
  <si>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</si>
  <si>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</si>
  <si>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</si>
  <si>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</si>
  <si>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</si>
  <si>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</si>
  <si>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</si>
  <si>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</si>
  <si>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</si>
  <si>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</si>
  <si>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</si>
  <si>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</si>
  <si>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</si>
  <si>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</si>
  <si>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</si>
  <si>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</si>
  <si>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</si>
  <si>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</si>
  <si>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</si>
  <si>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</si>
  <si>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</si>
  <si>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</si>
  <si>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</si>
  <si>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</si>
  <si>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</si>
  <si>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</si>
  <si>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</si>
  <si>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</si>
  <si>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</si>
  <si>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</si>
  <si>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</si>
  <si>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</si>
  <si>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</si>
  <si>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</si>
  <si>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</si>
  <si>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</si>
  <si>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</si>
  <si>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</si>
  <si>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</si>
  <si>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</si>
  <si>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</si>
  <si>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</si>
  <si>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</si>
  <si>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</si>
  <si>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</si>
  <si>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</si>
  <si>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</si>
  <si>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</si>
  <si>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</si>
  <si>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</si>
  <si>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</si>
  <si>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</si>
  <si>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</si>
  <si>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</si>
  <si>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</si>
  <si>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</si>
  <si>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</si>
  <si>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</si>
  <si>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</si>
  <si>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</si>
  <si>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</si>
  <si>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</si>
  <si>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</si>
  <si>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</si>
  <si>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</si>
  <si>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</si>
  <si>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</si>
  <si>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</si>
  <si>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</si>
  <si>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</si>
  <si>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</si>
  <si>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</si>
  <si>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</si>
  <si>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</si>
  <si>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</si>
  <si>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</si>
  <si>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</si>
  <si>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</si>
  <si>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</si>
  <si>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</si>
  <si>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</si>
  <si>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</si>
  <si>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</si>
  <si>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</si>
  <si>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t>
  </si>
  <si>
    <t>The Yard</t>
  </si>
  <si>
    <t>George Schofeild</t>
  </si>
  <si>
    <t>Dan Miller - Rural Consultant</t>
  </si>
  <si>
    <t>Commercial</t>
  </si>
  <si>
    <t>No</t>
  </si>
  <si>
    <t>Walkover completed by competent person</t>
  </si>
  <si>
    <t xml:space="preserve">Tony Kernon </t>
  </si>
  <si>
    <t>Director of Kernon Countryside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</si>
</sst>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0.96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1.0720451638720001</c:v>
                </c:pt>
                <c:pt idx="1">
                  <c:v>0.17607249738900002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xdr:colOff>
      <xdr:row>8</xdr:row>
      <xdr:rowOff>0</xdr:rowOff>
    </xdr:from>
    <xdr:to>
      <xdr:col>3</xdr:col>
      <xdr:colOff>4941095</xdr:colOff>
      <xdr:row>8</xdr:row>
      <xdr:rowOff>3688313</xdr:rowOff>
    </xdr:to>
    <xdr:pic>
      <xdr:nvPicPr>
        <xdr:cNvPr id="3" name="Picture 2">
          <a:extLst>
            <a:ext uri="{FF2B5EF4-FFF2-40B4-BE49-F238E27FC236}">
              <a16:creationId xmlns:a16="http://schemas.microsoft.com/office/drawing/2014/main" id="{1479ABF3-3155-5A5F-F957-FE0D6391A0EA}"/>
            </a:ext>
          </a:extLst>
        </xdr:cNvPr>
        <xdr:cNvPicPr>
          <a:picLocks noChangeAspect="1"/>
        </xdr:cNvPicPr>
      </xdr:nvPicPr>
      <xdr:blipFill>
        <a:blip xmlns:r="http://schemas.openxmlformats.org/officeDocument/2006/relationships" r:embed="rId1"/>
        <a:stretch>
          <a:fillRect/>
        </a:stretch>
      </xdr:blipFill>
      <xdr:spPr>
        <a:xfrm>
          <a:off x="3476626" y="2524125"/>
          <a:ext cx="4941094" cy="3688313"/>
        </a:xfrm>
        <a:prstGeom prst="rect">
          <a:avLst/>
        </a:prstGeom>
      </xdr:spPr>
    </xdr:pic>
    <xdr:clientData/>
  </xdr:twoCellAnchor>
  <xdr:twoCellAnchor editAs="oneCell">
    <xdr:from>
      <xdr:col>3</xdr:col>
      <xdr:colOff>23814</xdr:colOff>
      <xdr:row>10</xdr:row>
      <xdr:rowOff>166687</xdr:rowOff>
    </xdr:from>
    <xdr:to>
      <xdr:col>3</xdr:col>
      <xdr:colOff>3274168</xdr:colOff>
      <xdr:row>10</xdr:row>
      <xdr:rowOff>3684475</xdr:rowOff>
    </xdr:to>
    <xdr:pic>
      <xdr:nvPicPr>
        <xdr:cNvPr id="4" name="Picture 3">
          <a:extLst>
            <a:ext uri="{FF2B5EF4-FFF2-40B4-BE49-F238E27FC236}">
              <a16:creationId xmlns:a16="http://schemas.microsoft.com/office/drawing/2014/main" id="{7BB4C12D-7507-B5EF-85BA-89BEC2CF10F4}"/>
            </a:ext>
          </a:extLst>
        </xdr:cNvPr>
        <xdr:cNvPicPr>
          <a:picLocks noChangeAspect="1"/>
        </xdr:cNvPicPr>
      </xdr:nvPicPr>
      <xdr:blipFill>
        <a:blip xmlns:r="http://schemas.openxmlformats.org/officeDocument/2006/relationships" r:embed="rId2"/>
        <a:stretch>
          <a:fillRect/>
        </a:stretch>
      </xdr:blipFill>
      <xdr:spPr>
        <a:xfrm>
          <a:off x="3500439" y="6965156"/>
          <a:ext cx="3250354" cy="3517788"/>
        </a:xfrm>
        <a:prstGeom prst="rect">
          <a:avLst/>
        </a:prstGeom>
      </xdr:spPr>
    </xdr:pic>
    <xdr:clientData/>
  </xdr:twoCellAnchor>
  <xdr:twoCellAnchor editAs="oneCell">
    <xdr:from>
      <xdr:col>4</xdr:col>
      <xdr:colOff>1</xdr:colOff>
      <xdr:row>8</xdr:row>
      <xdr:rowOff>0</xdr:rowOff>
    </xdr:from>
    <xdr:to>
      <xdr:col>4</xdr:col>
      <xdr:colOff>4572001</xdr:colOff>
      <xdr:row>8</xdr:row>
      <xdr:rowOff>3149119</xdr:rowOff>
    </xdr:to>
    <xdr:pic>
      <xdr:nvPicPr>
        <xdr:cNvPr id="5" name="Picture 4">
          <a:extLst>
            <a:ext uri="{FF2B5EF4-FFF2-40B4-BE49-F238E27FC236}">
              <a16:creationId xmlns:a16="http://schemas.microsoft.com/office/drawing/2014/main" id="{F6C2B83E-5064-FDC6-9FD6-CCDBC8EAFEA4}"/>
            </a:ext>
          </a:extLst>
        </xdr:cNvPr>
        <xdr:cNvPicPr>
          <a:picLocks noChangeAspect="1"/>
        </xdr:cNvPicPr>
      </xdr:nvPicPr>
      <xdr:blipFill>
        <a:blip xmlns:r="http://schemas.openxmlformats.org/officeDocument/2006/relationships" r:embed="rId3"/>
        <a:stretch>
          <a:fillRect/>
        </a:stretch>
      </xdr:blipFill>
      <xdr:spPr>
        <a:xfrm>
          <a:off x="9465470" y="2524125"/>
          <a:ext cx="4572000" cy="3149119"/>
        </a:xfrm>
        <a:prstGeom prst="rect">
          <a:avLst/>
        </a:prstGeom>
      </xdr:spPr>
    </xdr:pic>
    <xdr:clientData/>
  </xdr:twoCellAnchor>
  <xdr:twoCellAnchor editAs="oneCell">
    <xdr:from>
      <xdr:col>4</xdr:col>
      <xdr:colOff>0</xdr:colOff>
      <xdr:row>10</xdr:row>
      <xdr:rowOff>1</xdr:rowOff>
    </xdr:from>
    <xdr:to>
      <xdr:col>4</xdr:col>
      <xdr:colOff>4841370</xdr:colOff>
      <xdr:row>10</xdr:row>
      <xdr:rowOff>3619501</xdr:rowOff>
    </xdr:to>
    <xdr:pic>
      <xdr:nvPicPr>
        <xdr:cNvPr id="6" name="Picture 5">
          <a:extLst>
            <a:ext uri="{FF2B5EF4-FFF2-40B4-BE49-F238E27FC236}">
              <a16:creationId xmlns:a16="http://schemas.microsoft.com/office/drawing/2014/main" id="{C15171FE-BC83-86C7-81E5-EC9124ACFD3C}"/>
            </a:ext>
          </a:extLst>
        </xdr:cNvPr>
        <xdr:cNvPicPr>
          <a:picLocks noChangeAspect="1"/>
        </xdr:cNvPicPr>
      </xdr:nvPicPr>
      <xdr:blipFill>
        <a:blip xmlns:r="http://schemas.openxmlformats.org/officeDocument/2006/relationships" r:embed="rId4"/>
        <a:stretch>
          <a:fillRect/>
        </a:stretch>
      </xdr:blipFill>
      <xdr:spPr>
        <a:xfrm>
          <a:off x="9465469" y="6798470"/>
          <a:ext cx="4841370" cy="3619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4"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4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4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4" zoomScale="80" zoomScaleNormal="80" workbookViewId="0">
      <selection activeCell="D11" sqref="D11"/>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32" t="s">
        <v>13</v>
      </c>
      <c r="C2" s="633"/>
      <c r="D2" s="260" t="s">
        <v>14</v>
      </c>
      <c r="E2" s="40"/>
      <c r="F2" s="25"/>
      <c r="G2" s="25"/>
      <c r="H2" s="25"/>
      <c r="I2" s="25"/>
      <c r="J2" s="25"/>
      <c r="K2" s="25"/>
    </row>
    <row r="3" spans="1:11" ht="42" customHeight="1">
      <c r="A3" s="25"/>
      <c r="B3" s="627" t="s">
        <v>15</v>
      </c>
      <c r="C3" s="628"/>
      <c r="D3" s="31" t="s">
        <v>1051</v>
      </c>
      <c r="E3" s="25"/>
      <c r="F3" s="25"/>
      <c r="G3" s="25"/>
      <c r="H3" s="25"/>
      <c r="I3" s="25"/>
      <c r="J3" s="25"/>
      <c r="K3" s="25"/>
    </row>
    <row r="4" spans="1:11" ht="42" customHeight="1">
      <c r="A4" s="25"/>
      <c r="B4" s="625" t="s">
        <v>16</v>
      </c>
      <c r="C4" s="626"/>
      <c r="D4" s="32" t="s">
        <v>1052</v>
      </c>
      <c r="E4" s="25"/>
      <c r="F4" s="25"/>
      <c r="G4" s="25"/>
      <c r="H4" s="25"/>
      <c r="I4" s="25"/>
      <c r="J4" s="25"/>
      <c r="K4" s="25"/>
    </row>
    <row r="5" spans="1:11" ht="42" customHeight="1">
      <c r="A5" s="25"/>
      <c r="B5" s="625" t="s">
        <v>17</v>
      </c>
      <c r="C5" s="626"/>
      <c r="D5" s="32" t="s">
        <v>1053</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c r="E7" s="25"/>
      <c r="F7" s="25"/>
      <c r="G7" s="25"/>
      <c r="H7" s="25"/>
      <c r="I7" s="25"/>
      <c r="J7" s="25"/>
      <c r="K7" s="25"/>
    </row>
    <row r="8" spans="1:11" ht="42" customHeight="1">
      <c r="A8" s="25"/>
      <c r="B8" s="625" t="s">
        <v>20</v>
      </c>
      <c r="C8" s="626"/>
      <c r="D8" s="32" t="s">
        <v>1054</v>
      </c>
      <c r="E8" s="25"/>
      <c r="F8" s="25"/>
      <c r="G8" s="25"/>
      <c r="H8" s="25"/>
      <c r="I8" s="25"/>
      <c r="J8" s="25"/>
      <c r="K8" s="25"/>
    </row>
    <row r="9" spans="1:11" ht="42" customHeight="1">
      <c r="A9" s="25"/>
      <c r="B9" s="625" t="s">
        <v>21</v>
      </c>
      <c r="C9" s="626"/>
      <c r="D9" s="287">
        <v>46003</v>
      </c>
      <c r="E9" s="25"/>
      <c r="F9" s="25"/>
      <c r="G9" s="25"/>
      <c r="H9" s="25"/>
      <c r="I9" s="25"/>
      <c r="J9" s="25"/>
      <c r="K9" s="25"/>
    </row>
    <row r="10" spans="1:11" ht="42" customHeight="1">
      <c r="A10" s="25"/>
      <c r="B10" s="625" t="s">
        <v>22</v>
      </c>
      <c r="C10" s="626"/>
      <c r="D10" s="32">
        <v>1</v>
      </c>
      <c r="E10" s="25"/>
      <c r="F10" s="25"/>
      <c r="G10" s="25"/>
      <c r="H10" s="25"/>
      <c r="I10" s="25"/>
      <c r="J10" s="25"/>
      <c r="K10" s="25"/>
    </row>
    <row r="11" spans="1:11" ht="42" customHeight="1" thickBot="1">
      <c r="A11" s="25"/>
      <c r="B11" s="629" t="s">
        <v>23</v>
      </c>
      <c r="C11" s="630"/>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4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23" sqref="C23"/>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The Yard</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2800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16. Building footprint (m2) of commercial buildings proposed within the development site (or zero if none)</v>
      </c>
      <c r="C8" s="151">
        <v>15</v>
      </c>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1056</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1056</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1056</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1057</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46004</v>
      </c>
      <c r="D20" s="162" t="str">
        <f>IF(C20="","Walkover date required ▲","Site walkover data valid until "&amp;TEXT(EDATE(C20,6),"dd/mm/yy"))</f>
        <v>Site walkover data valid until 13/06/26</v>
      </c>
      <c r="E20" s="25"/>
      <c r="F20" s="25"/>
      <c r="G20" s="25"/>
      <c r="H20" s="25"/>
      <c r="I20" s="25"/>
      <c r="J20" s="25"/>
      <c r="K20" s="25"/>
      <c r="L20" s="25"/>
      <c r="M20" s="25"/>
      <c r="N20" s="25"/>
    </row>
    <row r="21" spans="1:14" ht="39.6" customHeight="1" thickBot="1">
      <c r="A21" s="25"/>
      <c r="B21" s="36" t="s">
        <v>1034</v>
      </c>
      <c r="C21" s="560" t="s">
        <v>1058</v>
      </c>
      <c r="D21" s="561" t="s">
        <v>1059</v>
      </c>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29" activePane="bottomRight" state="frozen"/>
      <selection pane="topRight" activeCell="C1" sqref="C1"/>
      <selection pane="bottomLeft" activeCell="A8" sqref="A8"/>
      <selection pane="bottomRight" activeCell="XFC10" sqref="XFC10"/>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The Yard</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v>46004</v>
      </c>
      <c r="E8" s="399">
        <v>46004</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Other neutral grassland</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v>46004</v>
      </c>
      <c r="E10" s="399">
        <v>46004</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Artificial unvegetated, unsealed surface</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 zoomScale="80" zoomScaleNormal="80" workbookViewId="0">
      <selection activeCell="D21" sqref="D21:E21"/>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0.64</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The Yard</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0</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0.43204516387200004</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0.11204516387200014</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721" t="s">
        <v>307</v>
      </c>
      <c r="E11" s="722"/>
      <c r="F11" s="767" t="s">
        <v>112</v>
      </c>
      <c r="G11" s="768"/>
      <c r="H11" s="769"/>
      <c r="I11" s="305">
        <v>1200</v>
      </c>
      <c r="J11" s="323">
        <v>800</v>
      </c>
      <c r="K11" s="307">
        <v>400</v>
      </c>
      <c r="L11" s="408">
        <f>IF(C11="","",IFERROR(IF(I11="","",((I11/10000)*V11*X11)*AD11),"Error ▲"))</f>
        <v>0.96</v>
      </c>
      <c r="M11" s="408">
        <f>IF(I11="","",IF(J11+K11&gt;I11,"Area Error ▲",I11-J11-K11))</f>
        <v>0</v>
      </c>
      <c r="N11" s="409">
        <f>IFERROR(IF(I11="","",IF(M11="Area Error ▲","Area Error ▲",((M11/10000)*V11*X11)*AD11)),"This intervention is not permitted within the SSM ▲")</f>
        <v>0</v>
      </c>
      <c r="O11" s="67"/>
      <c r="P11" s="5"/>
      <c r="Q11" s="25"/>
      <c r="R11" s="654"/>
      <c r="S11" s="25"/>
      <c r="T11" s="663" t="str">
        <f>IF(C11="","",VLOOKUP(D11,'9. All Habitats + Multipliers'!$C$4:$K$102,5,FALSE))</f>
        <v>Medium</v>
      </c>
      <c r="U11" s="664"/>
      <c r="V11" s="94">
        <f>IF(T11="","",VLOOKUP(T11,'11. Lists'!$B$47:$D$49,2,FALSE))</f>
        <v>4</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0.64</v>
      </c>
      <c r="AF11" s="299">
        <f>IF(D11="","",((K11/10000)*V11*X11)*AD11)</f>
        <v>0.32</v>
      </c>
      <c r="AG11" s="96">
        <f>IF(D11="","",M11)</f>
        <v>0</v>
      </c>
      <c r="AH11" s="511" t="str">
        <f>IF(T11="","",VLOOKUP(T11,'11. Lists'!$B$47:$D$49,3,FALSE))</f>
        <v>Same broad habitat or a higher distinctiveness habitat required</v>
      </c>
      <c r="AI11" s="545" t="str">
        <f>IF(D11="","",VLOOKUP(D11,'10. Condition and Temporal'!$B$6:$L$103,4,FALSE))</f>
        <v>Other neutral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209</v>
      </c>
      <c r="D12" s="824" t="s">
        <v>326</v>
      </c>
      <c r="E12" s="825"/>
      <c r="F12" s="767" t="s">
        <v>112</v>
      </c>
      <c r="G12" s="768"/>
      <c r="H12" s="769"/>
      <c r="I12" s="305">
        <v>1600</v>
      </c>
      <c r="J12" s="306">
        <v>1600</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654"/>
      <c r="S12" s="25"/>
      <c r="T12" s="663" t="str">
        <f>IF(C12="","",VLOOKUP(D12,'9. All Habitats + Multipliers'!$C$4:$K$102,5,FALSE))</f>
        <v>V.Low</v>
      </c>
      <c r="U12" s="664"/>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2800</v>
      </c>
      <c r="J32" s="327">
        <f>SUMIFS(J11:J30,D11:D30,"&lt;&gt;"&amp;'11. Lists'!Q10,D11:D30,"&lt;&gt;"&amp;'11. Lists'!Q11,D11:D30,"&lt;&gt;"&amp;'11. Lists'!I4,D11:D30,"&lt;&gt;"&amp;'11. Lists'!I2,D11:D30,"&lt;&gt;"&amp;'11. Lists'!I3)</f>
        <v>2400</v>
      </c>
      <c r="K32" s="328">
        <f>SUMIFS(K11:K30,D11:D30,"&lt;&gt;"&amp;'11. Lists'!Q10,D11:D30,"&lt;&gt;"&amp;'11. Lists'!Q11,D11:D30,"&lt;&gt;"&amp;'11. Lists'!I4,D11:D30,"&lt;&gt;"&amp;'11. Lists'!I2,D11:D30,"&lt;&gt;"&amp;'11. Lists'!I3)</f>
        <v>400</v>
      </c>
      <c r="L32" s="279">
        <f>SUM(L11:L31)</f>
        <v>0.96</v>
      </c>
      <c r="M32" s="319">
        <f>SUMIFS(M11:M30,D11:D30,"&lt;&gt;"&amp;'11. Lists'!Q10,D11:D30,"&lt;&gt;"&amp;'11. Lists'!Q11,D11:D30,"&lt;&gt;"&amp;'11. Lists'!I4,D11:D30,"&lt;&gt;"&amp;'11. Lists'!I2,D11:D30,"&lt;&gt;"&amp;'11. Lists'!I3)</f>
        <v>0</v>
      </c>
      <c r="N32" s="280">
        <f>SUM(N11:N31)</f>
        <v>0</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7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2.2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75">
      <c r="B40" s="263">
        <v>1</v>
      </c>
      <c r="C40" s="76"/>
      <c r="D40" s="73"/>
      <c r="E40" s="342" t="str">
        <f>IF(D40="","",VLOOKUP(D40,'10. Condition and Temporal'!$B$6:$D$103,3,FALSE))</f>
        <v/>
      </c>
      <c r="F40" s="826"/>
      <c r="G40" s="827"/>
      <c r="H40" s="72"/>
      <c r="I40" s="718"/>
      <c r="J40" s="719"/>
      <c r="K40" s="720"/>
      <c r="L40" s="711" t="str">
        <f>IF(C40="","",IFERROR(IF(I40="","",((I40/10000)*(V40*X40))*(AH40*AF40)*AD40),"This intervention is not permitted within the SSM ▲"))</f>
        <v/>
      </c>
      <c r="M40" s="688"/>
      <c r="N40" s="712"/>
      <c r="O40" s="2"/>
      <c r="P40" s="1"/>
      <c r="Q40" s="106"/>
      <c r="R40" s="654"/>
      <c r="T40" s="663" t="str">
        <f>IF(C40="","",VLOOKUP(D40,'9. All Habitats + Multipliers'!$C$4:$K$102,5,FALSE))</f>
        <v/>
      </c>
      <c r="U40" s="664"/>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2</v>
      </c>
      <c r="C41" s="77"/>
      <c r="D41" s="73"/>
      <c r="E41" s="342" t="str">
        <f>IF(D41="","",VLOOKUP(D41,'10. Condition and Temporal'!$B$6:$D$103,3,FALSE))</f>
        <v/>
      </c>
      <c r="F41" s="709"/>
      <c r="G41" s="710"/>
      <c r="H41" s="71"/>
      <c r="I41" s="718"/>
      <c r="J41" s="719"/>
      <c r="K41" s="720"/>
      <c r="L41" s="711" t="str">
        <f t="shared" ref="L41:L59" si="7">IF(C41="","",IFERROR(IF(I41="","",((I41/10000)*(V41*X41))*(AH41*AF41)*AD41),"This intervention is not permitted within the SSM ▲"))</f>
        <v/>
      </c>
      <c r="M41" s="688"/>
      <c r="N41" s="712"/>
      <c r="O41" s="61"/>
      <c r="P41" s="12"/>
      <c r="Q41" s="106"/>
      <c r="R41" s="654"/>
      <c r="T41" s="663" t="str">
        <f>IF(C41="","",VLOOKUP(D41,'9. All Habitats + Multipliers'!$C$4:$K$102,5,FALSE))</f>
        <v/>
      </c>
      <c r="U41" s="664"/>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47" t="s">
        <v>111</v>
      </c>
      <c r="G60" s="748"/>
      <c r="H60" s="550" t="s">
        <v>112</v>
      </c>
      <c r="I60" s="751">
        <f>O99</f>
        <v>0</v>
      </c>
      <c r="J60" s="752"/>
      <c r="K60" s="753"/>
      <c r="L60" s="713">
        <f>IF(D60="","",((I60/10000)*(V60*X60))*(AH60*AF60)*AD60)</f>
        <v>0</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818">
        <f>SUMIFS(I40:I59,D40:D59,"&lt;&gt;"&amp;'11. Lists'!Q10,D40:D59,"&lt;&gt;"&amp;'11. Lists'!Q11,D40:D59,"&lt;&gt;"&amp;'11. Lists'!I4,D40:D59,"&lt;&gt;"&amp;'11. Lists'!I2,D40:D59,"&lt;&gt;"&amp;'11. Lists'!I3)</f>
        <v>0</v>
      </c>
      <c r="J61" s="819"/>
      <c r="K61" s="820"/>
      <c r="L61" s="700">
        <f>SUM(L40:N60)</f>
        <v>0</v>
      </c>
      <c r="M61" s="821"/>
      <c r="N61" s="697"/>
      <c r="R61" s="654"/>
    </row>
    <row r="62" spans="2:53" s="25" customFormat="1" ht="15.7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0</v>
      </c>
      <c r="R63" s="654"/>
      <c r="BA63" s="50" t="s">
        <v>114</v>
      </c>
    </row>
    <row r="64" spans="2:53" s="25" customFormat="1" ht="21">
      <c r="B64" s="57" t="s">
        <v>115</v>
      </c>
      <c r="D64" s="88"/>
      <c r="H64" s="26"/>
      <c r="R64" s="654"/>
      <c r="BA64" s="50" t="s">
        <v>116</v>
      </c>
    </row>
    <row r="65" spans="1:76" s="25" customFormat="1" ht="15.7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1</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45">
      <c r="A68" s="89"/>
      <c r="B68" s="263">
        <v>1</v>
      </c>
      <c r="C68" s="207" t="str">
        <f t="shared" ref="C68:C87" si="11">IF(D68="","",C11)</f>
        <v>Grassland</v>
      </c>
      <c r="D68" s="208" t="str">
        <f>IF(OR(K11=0, K11=""),"",D11)</f>
        <v>Other neutral grassland</v>
      </c>
      <c r="E68" s="209" t="str">
        <f t="shared" ref="E68:E88" si="12">IF(AX68="","",AX68)</f>
        <v>Condition</v>
      </c>
      <c r="F68" s="721" t="s">
        <v>307</v>
      </c>
      <c r="G68" s="722"/>
      <c r="H68" s="163" t="str">
        <f t="shared" ref="H68:H87" si="13">IF(D68="","",AB68)</f>
        <v>Area/compensation not in local strategy/ no local strategy</v>
      </c>
      <c r="I68" s="321">
        <f>IF(OR(K11="", K11=0),"",K11)</f>
        <v>400</v>
      </c>
      <c r="J68" s="678" t="str">
        <f>IFERROR(IF(F68="","",VLOOKUP(F68,'10. Condition and Temporal'!$B$6:$F$103,5,FALSE)), "Error ▲")</f>
        <v>Good</v>
      </c>
      <c r="K68" s="679"/>
      <c r="L68" s="283">
        <f>IFERROR(IF(D68="","",IF(AX68="Distinctiveness",(((((I68*AH68*AJ68)-(I68*V68*X68))*(AV68*AT68))+(I68*V68*X68))*(AP68))/10000,((((I68*AJ68*AH68)-(I68*V68*X68))*(AV68*AR68))+(I68*V68*X68))*AP68/10000)),"Error ▲")</f>
        <v>0.43204516387200004</v>
      </c>
      <c r="M68" s="688">
        <f>IFERROR(IF(F68="","",L68-AD68), "Error ▲")</f>
        <v>0.11204516387200003</v>
      </c>
      <c r="N68" s="689"/>
      <c r="O68" s="210"/>
      <c r="P68" s="1"/>
      <c r="R68" s="654"/>
      <c r="T68" s="177">
        <f t="shared" ref="T68:T88" si="14">IF(D68="","",K11)</f>
        <v>400</v>
      </c>
      <c r="U68" s="361" t="str">
        <f>IF($D68="","",T11)</f>
        <v>Medium</v>
      </c>
      <c r="V68" s="363">
        <f t="shared" ref="V68:X88" si="15">IF($D68="","",V11)</f>
        <v>4</v>
      </c>
      <c r="W68" s="361" t="str">
        <f t="shared" si="15"/>
        <v>Moderate</v>
      </c>
      <c r="X68" s="363">
        <f t="shared" si="15"/>
        <v>2</v>
      </c>
      <c r="Y68" s="372"/>
      <c r="Z68" s="343"/>
      <c r="AA68" s="507"/>
      <c r="AB68" s="361" t="str">
        <f t="shared" ref="AB68:AB88" si="16">IF($D68="","",AB11)</f>
        <v>Area/compensation not in local strategy/ no local strategy</v>
      </c>
      <c r="AC68" s="363">
        <f t="shared" ref="AC68:AC88" si="17">IF($D68="","",AD11)</f>
        <v>1</v>
      </c>
      <c r="AD68" s="510">
        <f>IF(AC68="","",(T68*V68*X68)*AC68/10000)</f>
        <v>0.32</v>
      </c>
      <c r="AE68" s="510" t="str">
        <f>IF(AD68="","",IF(AH68&lt;V68,"Not Acceptable","Acceptable"))</f>
        <v>Acceptable</v>
      </c>
      <c r="AF68" s="510">
        <f t="shared" ref="AF68:AF88" si="18">IF(D68="","",I68)</f>
        <v>400</v>
      </c>
      <c r="AG68" s="361" t="str">
        <f>IF(D68="","",VLOOKUP(F68,'9. All Habitats + Multipliers'!$C$4:$K$102,5,FALSE))</f>
        <v>Medium</v>
      </c>
      <c r="AH68" s="513">
        <f>IF(AG68="","",VLOOKUP(AG68,'11. Lists'!$B$47:$D$49,2,FALSE))</f>
        <v>4</v>
      </c>
      <c r="AI68" s="361" t="str">
        <f t="shared" ref="AI68:AI88" si="19">IF(D68="","",J68)</f>
        <v>Good</v>
      </c>
      <c r="AJ68" s="363">
        <f>IF(AI68="","",VLOOKUP(AI68,'11. Lists'!$F$47:$G$51,2,FALSE))</f>
        <v>3</v>
      </c>
      <c r="AK68" s="515"/>
      <c r="AL68" s="362"/>
      <c r="AM68" s="518"/>
      <c r="AN68" s="361" t="str">
        <f t="shared" ref="AN68:AN88" si="20">IF(H68="","",H68)</f>
        <v>Area/compensation not in local strategy/ no local strategy</v>
      </c>
      <c r="AO68" s="519" t="str">
        <f>IF(AN68="","",VLOOKUP(AN68,'11. Lists'!$F$36:$H$38,2,FALSE))</f>
        <v>Low Strategic Significance</v>
      </c>
      <c r="AP68" s="363">
        <f>IF(AN68="","",VLOOKUP(AN68,'11. Lists'!$F$36:$H$38,3,FALSE))</f>
        <v>1</v>
      </c>
      <c r="AQ68" s="361">
        <f>IF(D68="","",IF(AX68="Distinctiveness","N/A",VLOOKUP(F68,'10. Condition and Temporal'!$B$6:$L$103,11,FALSE)))</f>
        <v>10</v>
      </c>
      <c r="AR68" s="520">
        <f>IF(AQ68="","",IF(AQ68="N/A","1",VLOOKUP(AQ68,'11. Lists'!$I$47:$K$80,3,FALSE)))</f>
        <v>0.70028227419999989</v>
      </c>
      <c r="AS68" s="523" t="str">
        <f>IF(D68="","",IF(AX68="Condition","N/A",VLOOKUP(F68,'10. Condition and Temporal'!$B$6:$M$106,12,FALSE)))</f>
        <v>N/A</v>
      </c>
      <c r="AT68" s="520" t="str">
        <f>IF(AS68="","",IF(AS68="N/A","1",VLOOKUP(AS68,'11. Lists'!$I$47:$K$80,3,FALSE)))</f>
        <v>1</v>
      </c>
      <c r="AU68" s="361" t="str">
        <f>IF(D68="","",VLOOKUP(F68,'9. All Habitats + Multipliers'!$C$4:$K$102,8,FALSE))</f>
        <v>Low</v>
      </c>
      <c r="AV68" s="363">
        <f>IF(AU68="","",VLOOKUP(AU68,'11. Lists'!$J$35:$K$38,2,FALSE))</f>
        <v>1</v>
      </c>
      <c r="AW68" s="510" t="str">
        <f>IF(D68="","",VLOOKUP(D68,'10. Condition and Temporal'!$B$6:$M$103,4,FALSE))</f>
        <v>Other neutral grassland</v>
      </c>
      <c r="AX68" s="510" t="str">
        <f t="shared" ref="AX68:AX87" si="21">IF(F68="","",IF(D68=F68,"Condition","Distinctiveness"))</f>
        <v>Condition</v>
      </c>
      <c r="AY68" s="462" t="str">
        <f>IF(COUNTIF(F68,"*grassland*"),"Grassland",IF(COUNTIF(F68,"*scree*"),"Sparsely vegetated land",C68))</f>
        <v>Grassland</v>
      </c>
      <c r="BA68" s="93">
        <v>1</v>
      </c>
      <c r="BB68" s="95" t="str">
        <f t="shared" ref="BB68:BB87" si="22">TRIM(MID(SUBSTITUTE($AW$68,$BA$64,REPT(" ",LEN($AW$68))),($BA68-1)*LEN($AW$68)+1,LEN($AW$68)))</f>
        <v>Other neutral grassland</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BB68:BB68</v>
      </c>
      <c r="BW68" s="95" t="s">
        <v>154</v>
      </c>
      <c r="BX68" s="95">
        <f>BB66</f>
        <v>1</v>
      </c>
    </row>
    <row r="69" spans="1:76" s="25" customFormat="1" ht="15.7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400</v>
      </c>
      <c r="J89" s="218"/>
      <c r="K89" s="216"/>
      <c r="L89" s="284">
        <f>SUM(L68:L88)</f>
        <v>0.43204516387200004</v>
      </c>
      <c r="M89" s="700">
        <f>SUM(M68:N88)</f>
        <v>0.11204516387200003</v>
      </c>
      <c r="N89" s="697"/>
      <c r="R89" s="654"/>
    </row>
    <row r="90" spans="1:76" s="25" customFormat="1">
      <c r="C90" s="26"/>
      <c r="R90" s="654"/>
    </row>
    <row r="91" spans="1:76" s="25" customFormat="1" ht="21">
      <c r="B91" s="57" t="s">
        <v>174</v>
      </c>
      <c r="R91" s="654"/>
    </row>
    <row r="92" spans="1:76" s="25" customFormat="1" ht="15.7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c r="E95" s="703"/>
      <c r="F95" s="704"/>
      <c r="G95" s="852"/>
      <c r="H95" s="853"/>
      <c r="I95" s="693">
        <f>D95*'11. Lists'!P47</f>
        <v>0</v>
      </c>
      <c r="J95" s="694"/>
      <c r="K95" s="695"/>
      <c r="L95" s="657">
        <f>IF(E95&gt;D95, "Error ▲", E95*'11. Lists'!P47)</f>
        <v>0</v>
      </c>
      <c r="M95" s="694"/>
      <c r="N95" s="695"/>
      <c r="O95" s="657">
        <f>G95*'11. Lists'!P47</f>
        <v>0</v>
      </c>
      <c r="P95" s="658"/>
      <c r="R95" s="654"/>
    </row>
    <row r="96" spans="1:76" s="25" customFormat="1" ht="24.6"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0</v>
      </c>
      <c r="E99" s="655">
        <f>SUM(E95:F98)</f>
        <v>0</v>
      </c>
      <c r="F99" s="708"/>
      <c r="G99" s="655">
        <f>SUM(G95:H98)</f>
        <v>0</v>
      </c>
      <c r="H99" s="656"/>
      <c r="I99" s="708">
        <f>SUM(I95:K98)</f>
        <v>0</v>
      </c>
      <c r="J99" s="707"/>
      <c r="K99" s="707"/>
      <c r="L99" s="707">
        <f>SUM(L95:N98)</f>
        <v>0</v>
      </c>
      <c r="M99" s="707"/>
      <c r="N99" s="707"/>
      <c r="O99" s="655">
        <f>SUM(O95:P98)</f>
        <v>0</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7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7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4"/>
    </row>
    <row r="117" spans="2:18" s="25" customFormat="1" ht="15.6" customHeight="1">
      <c r="B117" s="797"/>
      <c r="C117" s="798"/>
      <c r="D117" s="799"/>
      <c r="E117" s="124" t="s">
        <v>202</v>
      </c>
      <c r="F117" s="122">
        <f>SUMIFS($L$11:$L$30,$C$11:$C$30,$B116,$T$11:$T$30,$E117)</f>
        <v>0.96</v>
      </c>
      <c r="G117" s="122">
        <f>SUMIFS($L$40:$L$59,$C$40:$C$59,$B116,$T$40:$T$59,$E117)+SUMIFS($L$68:$L$87,AY68:AY87,B116,$AG$68:$AG$87,E117)+SUMIFS($AE$11:$AE$31,$C$11:$C$31,B116,$T$11:$T$31,E117)</f>
        <v>1.0720451638720001</v>
      </c>
      <c r="H117" s="122">
        <f t="shared" ref="H117:H131" si="54">G117-F117</f>
        <v>0.11204516387200014</v>
      </c>
      <c r="I117" s="125" t="str">
        <f>IF(F117=0,"N/A",IF(H117&lt;0,"No ▲","Yes ✓"))</f>
        <v>Yes ✓</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4"/>
    </row>
    <row r="136" spans="2:18" s="25" customFormat="1" ht="15.6" customHeight="1" thickBot="1">
      <c r="J136" s="157"/>
      <c r="M136" s="26"/>
      <c r="R136" s="654"/>
    </row>
    <row r="137" spans="2:18" s="25" customFormat="1" ht="37.5">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0.96</v>
      </c>
      <c r="G138" s="156">
        <f>IF(L61+L89+P1=0,0,SUMIFS($L$40:$L$60,$T$40:$T$60,"Medium")+SUMIFS($L$68:$L$87,$AG$68:$AG$87,"Medium")+SUMIFS($AE$11:$AE$31,$T$11:$T$31,"Medium"))</f>
        <v>1.0720451638720001</v>
      </c>
      <c r="H138" s="122">
        <f>IFERROR(G138-F138,"")</f>
        <v>0.11204516387200014</v>
      </c>
      <c r="I138" s="329" t="str">
        <f>IF(G138="","",IF(H138&gt;=0,"Yes ✓","No ▲"))</f>
        <v>Yes ✓</v>
      </c>
      <c r="J138" s="157">
        <f t="shared" si="55"/>
        <v>0</v>
      </c>
      <c r="R138" s="654" t="s">
        <v>52</v>
      </c>
    </row>
    <row r="139" spans="2:18" s="25" customFormat="1" ht="30.6" customHeight="1">
      <c r="B139" s="803" t="s">
        <v>213</v>
      </c>
      <c r="C139" s="804"/>
      <c r="D139" s="804"/>
      <c r="E139" s="805"/>
      <c r="F139" s="122">
        <f>SUMIFS($L$11:$L$31,$T$11:$T$31,"Low")</f>
        <v>0</v>
      </c>
      <c r="G139" s="156">
        <f>IF(L61+L89+P1=0,0,SUMIFS($L$40:$L$60,$T$40:$T$60,"Low")+SUMIFS($L$68:$L$88,$AG$68:$AG$88,"Low")+SUMIFS($AE$11:$AE$31,$T$11:$T$31,"Low"))</f>
        <v>0</v>
      </c>
      <c r="H139" s="122">
        <f>IFERROR(G139-F139,"")</f>
        <v>0</v>
      </c>
      <c r="I139" s="329" t="str">
        <f>IF($I$142&gt;=0,"Yes ✓","No ▲")</f>
        <v>Yes ✓</v>
      </c>
      <c r="J139" s="157">
        <f t="shared" si="55"/>
        <v>0</v>
      </c>
      <c r="R139" s="654"/>
    </row>
    <row r="140" spans="2:18" s="25" customFormat="1" ht="41.25" customHeight="1" thickBot="1">
      <c r="B140" s="806" t="s">
        <v>214</v>
      </c>
      <c r="C140" s="807"/>
      <c r="D140" s="807"/>
      <c r="E140" s="808"/>
      <c r="F140" s="800">
        <f>IFERROR(H138+H139,"")</f>
        <v>0.11204516387200014</v>
      </c>
      <c r="G140" s="801"/>
      <c r="H140" s="802"/>
      <c r="I140" s="330" t="str">
        <f>IF(F140="","",IF(F140&gt;=0,"Yes ✓","No ▲"))</f>
        <v>Yes ✓</v>
      </c>
      <c r="J140" s="157">
        <f t="shared" si="55"/>
        <v>0</v>
      </c>
      <c r="R140" s="654"/>
    </row>
    <row r="141" spans="2:18" s="25" customFormat="1">
      <c r="R141" s="654"/>
    </row>
    <row r="142" spans="2:18" s="25" customFormat="1">
      <c r="I142" s="434">
        <f>IF($H$138&gt;0,($H$139+$H$138),$H$139)</f>
        <v>0.11204516387200014</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06" zoomScale="80" zoomScaleNormal="80" workbookViewId="0">
      <selection activeCell="I42" sqref="I42:K42"/>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899999999999999" customHeight="1">
      <c r="B2" s="80" t="s">
        <v>53</v>
      </c>
      <c r="C2" s="828" t="str">
        <f>IF('2. Site Details'!D4="","Enter site name on 2. Site Details",'2. Site Details'!D4)</f>
        <v>The Yard</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0.17607249738900002</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0.17607249738900002</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4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450000000000003"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30">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7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2.2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t="s">
        <v>236</v>
      </c>
      <c r="E39" s="105" t="str">
        <f>IF(D39="","",VLOOKUP(D39,'10. Condition and Temporal'!$B$6:$D$103,3,FALSE))</f>
        <v>Moderate, Good</v>
      </c>
      <c r="F39" s="897" t="s">
        <v>383</v>
      </c>
      <c r="G39" s="898"/>
      <c r="H39" s="72" t="s">
        <v>112</v>
      </c>
      <c r="I39" s="718">
        <v>45</v>
      </c>
      <c r="J39" s="719"/>
      <c r="K39" s="719"/>
      <c r="L39" s="899">
        <f>IF(D39="","",IFERROR(IF(I39="","",((I39/1000)*(V39*X39))*(AH39*AF39)*AD39),"This intervention is not permitted within the SSM ▲"))</f>
        <v>0.17607249738900002</v>
      </c>
      <c r="M39" s="900"/>
      <c r="N39" s="901"/>
      <c r="O39" s="210"/>
      <c r="P39" s="1"/>
      <c r="Q39" s="106"/>
      <c r="R39" s="654"/>
      <c r="T39" s="663" t="str">
        <f>IF(D39="","",VLOOKUP(D39,'9. All Habitats + Multipliers'!$C$4:$K$102,5,FALSE))</f>
        <v>Low</v>
      </c>
      <c r="U39" s="664"/>
      <c r="V39" s="344">
        <f>IF(T39="","",VLOOKUP(T39,'11. Lists'!$S$47:$U$50,2,FALSE))</f>
        <v>2</v>
      </c>
      <c r="W39" s="93" t="str">
        <f>IF(F39="","",F39)</f>
        <v>Good</v>
      </c>
      <c r="X39" s="94">
        <f>IF(W39="","",VLOOKUP(W39,'11. Lists'!$F$47:$G$51,2,FALSE))</f>
        <v>3</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30">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818">
        <f>SUM(I39:K58)</f>
        <v>45</v>
      </c>
      <c r="J59" s="819"/>
      <c r="K59" s="820"/>
      <c r="L59" s="864">
        <f>SUM(L39:N58)</f>
        <v>0.17607249738900002</v>
      </c>
      <c r="M59" s="928"/>
      <c r="N59" s="865"/>
      <c r="R59" s="654"/>
    </row>
    <row r="60" spans="1:73" s="25" customFormat="1" ht="15.7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7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75" thickBot="1">
      <c r="R96" s="654"/>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7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 ca="1">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ca="1"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ca="1" si="52"/>
        <v>0</v>
      </c>
      <c r="G105" s="433">
        <f ca="1">$F$105-$E$105</f>
        <v>0</v>
      </c>
      <c r="H105" s="857"/>
      <c r="I105" s="430"/>
      <c r="R105" s="654"/>
    </row>
    <row r="106" spans="2:18" s="25" customFormat="1" ht="30.75" customHeight="1">
      <c r="B106" s="920"/>
      <c r="C106" s="923"/>
      <c r="D106" s="432" t="s">
        <v>233</v>
      </c>
      <c r="E106" s="433">
        <f t="shared" ca="1" si="51"/>
        <v>0</v>
      </c>
      <c r="F106" s="433">
        <f t="shared" ca="1" si="52"/>
        <v>0</v>
      </c>
      <c r="G106" s="433">
        <f ca="1">$F$106-$E$106</f>
        <v>0</v>
      </c>
      <c r="H106" s="857"/>
      <c r="I106" s="430"/>
      <c r="R106" s="654"/>
    </row>
    <row r="107" spans="2:18" s="25" customFormat="1" ht="30.75" customHeight="1">
      <c r="B107" s="920"/>
      <c r="C107" s="923"/>
      <c r="D107" s="432" t="s">
        <v>234</v>
      </c>
      <c r="E107" s="433">
        <f t="shared" ca="1" si="51"/>
        <v>0</v>
      </c>
      <c r="F107" s="433">
        <f t="shared" ca="1" si="52"/>
        <v>0</v>
      </c>
      <c r="G107" s="433">
        <f ca="1">$F$107-$E$107</f>
        <v>0</v>
      </c>
      <c r="H107" s="857"/>
      <c r="I107" s="157"/>
      <c r="R107" s="654"/>
    </row>
    <row r="108" spans="2:18" s="25" customFormat="1" ht="30.75" customHeight="1" thickBot="1">
      <c r="B108" s="920"/>
      <c r="C108" s="924"/>
      <c r="D108" s="444" t="s">
        <v>235</v>
      </c>
      <c r="E108" s="445">
        <f ca="1">SUM($E$103:$E$107)</f>
        <v>0</v>
      </c>
      <c r="F108" s="445">
        <f ca="1">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ca="1" si="52"/>
        <v>0.17607249738900002</v>
      </c>
      <c r="G109" s="453">
        <f ca="1">$F$109-$E$109</f>
        <v>0.17607249738900002</v>
      </c>
      <c r="H109" s="856" t="str">
        <f ca="1">IF(G112&gt;=0,"Yes ✓",IF(E114&gt;=0,"Yes ✓","No ▲"))</f>
        <v>Yes ✓</v>
      </c>
      <c r="I109" s="157"/>
      <c r="R109" s="654"/>
    </row>
    <row r="110" spans="2:18" s="25" customFormat="1" ht="30.75" customHeight="1">
      <c r="B110" s="920"/>
      <c r="C110" s="923"/>
      <c r="D110" s="432" t="s">
        <v>237</v>
      </c>
      <c r="E110" s="433">
        <f t="shared" ca="1" si="51"/>
        <v>0</v>
      </c>
      <c r="F110" s="433">
        <f t="shared" ca="1" si="52"/>
        <v>0</v>
      </c>
      <c r="G110" s="433">
        <f ca="1">$F$110-$E$110</f>
        <v>0</v>
      </c>
      <c r="H110" s="857"/>
      <c r="I110" s="157"/>
      <c r="R110" s="654"/>
    </row>
    <row r="111" spans="2:18" s="25" customFormat="1" ht="30.75" customHeight="1">
      <c r="B111" s="920"/>
      <c r="C111" s="923"/>
      <c r="D111" s="432" t="s">
        <v>238</v>
      </c>
      <c r="E111" s="433">
        <f t="shared" ca="1" si="51"/>
        <v>0</v>
      </c>
      <c r="F111" s="433">
        <f t="shared" ca="1" si="52"/>
        <v>0</v>
      </c>
      <c r="G111" s="433">
        <f ca="1">$F$111-$E$111</f>
        <v>0</v>
      </c>
      <c r="H111" s="857"/>
      <c r="I111" s="157"/>
      <c r="R111" s="654"/>
    </row>
    <row r="112" spans="2:18" s="25" customFormat="1" ht="30.75" customHeight="1" thickBot="1">
      <c r="B112" s="920"/>
      <c r="C112" s="924"/>
      <c r="D112" s="444" t="s">
        <v>235</v>
      </c>
      <c r="E112" s="445">
        <f ca="1">SUM($E$109:$E$111)</f>
        <v>0</v>
      </c>
      <c r="F112" s="445">
        <f ca="1">SUM($F$109:$F$111)</f>
        <v>0.17607249738900002</v>
      </c>
      <c r="G112" s="445">
        <f ca="1">SUM($G$109:$G$111)</f>
        <v>0.17607249738900002</v>
      </c>
      <c r="H112" s="858"/>
      <c r="I112" s="157">
        <f ca="1">IF($H$109="No ▲",1,0)</f>
        <v>0</v>
      </c>
      <c r="R112" s="654"/>
    </row>
    <row r="113" spans="2:18" s="25" customFormat="1" ht="30.75" customHeight="1" thickBot="1">
      <c r="B113" s="921"/>
      <c r="C113" s="446" t="s">
        <v>239</v>
      </c>
      <c r="D113" s="454" t="s">
        <v>240</v>
      </c>
      <c r="E113" s="455">
        <f t="shared" ca="1" si="51"/>
        <v>0</v>
      </c>
      <c r="F113" s="455">
        <f t="shared" ca="1" si="52"/>
        <v>0</v>
      </c>
      <c r="G113" s="455">
        <f ca="1">$F$113-$E$113</f>
        <v>0</v>
      </c>
      <c r="H113" s="449" t="str">
        <f ca="1">IF(G113&gt;=0,"Yes✓",IF(F114&gt;=0,"Yes ✓","No ▲"))</f>
        <v>Yes✓</v>
      </c>
      <c r="I113" s="157">
        <f ca="1">IF($H$113="No ▲",1,0)</f>
        <v>0</v>
      </c>
      <c r="R113" s="654"/>
    </row>
    <row r="114" spans="2:18" s="25" customFormat="1" ht="15.75" thickBot="1">
      <c r="E114" s="457">
        <f ca="1">G108+G112</f>
        <v>0.17607249738900002</v>
      </c>
      <c r="F114" s="434">
        <f ca="1">IF(G108&lt;0,0,($G$108+$G$112+$G$113))</f>
        <v>0.17607249738900002</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0.17607249738900002</v>
      </c>
      <c r="G116" s="434">
        <f ca="1">IF($G$108&lt;=0,0,($G$108+$G$112+$G$113))</f>
        <v>0</v>
      </c>
      <c r="R116" s="654"/>
    </row>
    <row r="117" spans="2:18" s="25" customFormat="1" ht="24" customHeight="1" thickBot="1">
      <c r="B117" s="918" t="s">
        <v>243</v>
      </c>
      <c r="C117" s="636"/>
      <c r="D117" s="636"/>
      <c r="E117" s="636"/>
      <c r="F117" s="438">
        <f ca="1">IF($F$116&gt;0,($F$116+$G$113),$G$113)</f>
        <v>0.17607249738900002</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The Yard</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4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2.2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7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7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2.2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7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7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7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7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75">
      <c r="C108" s="828" t="s">
        <v>259</v>
      </c>
      <c r="D108" s="976"/>
      <c r="E108" s="976"/>
      <c r="F108" s="976"/>
      <c r="G108" s="437">
        <f ca="1">$H$105</f>
        <v>0</v>
      </c>
      <c r="H108" s="431"/>
      <c r="J108" s="430"/>
      <c r="R108" s="654"/>
      <c r="AJ108" s="157"/>
      <c r="AK108" s="157"/>
      <c r="AL108" s="157"/>
      <c r="AM108" s="157"/>
      <c r="AN108" s="157"/>
    </row>
    <row r="109" spans="3:40" s="25" customFormat="1" ht="19.5"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41" zoomScale="80" zoomScaleNormal="80" workbookViewId="0">
      <selection activeCell="D26" sqref="D26"/>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The Yard</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0.96</v>
      </c>
      <c r="E11" s="485"/>
      <c r="F11" s="491">
        <f>('2. Site Details'!$D$13/100)*$D$11</f>
        <v>9.6000000000000002E-2</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1.0720451638720001</v>
      </c>
      <c r="E15" s="485"/>
      <c r="F15" s="492">
        <f>D11+F11</f>
        <v>1.056</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0.17607249738900002</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0.11204516387200014</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0.17607249738900002</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0.11671371236666682</v>
      </c>
      <c r="E23" s="539" t="str" cm="1">
        <f t="array" ref="E23">_xlfn.IFS(D23&gt;=F19,"✓",D23&lt;0,"▲", D23&lt;F19,"⚠")</f>
        <v>✓</v>
      </c>
      <c r="F23" s="491">
        <f>$D$23*100</f>
        <v>11.671371236666682</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0.96</v>
      </c>
      <c r="D36" s="51">
        <f>D15</f>
        <v>1.0720451638720001</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0.17607249738900002</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tabSelected="1"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749"/>
      <c r="E3" s="750"/>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Dan Miller</cp:lastModifiedBy>
  <cp:revision/>
  <dcterms:created xsi:type="dcterms:W3CDTF">2020-09-14T13:04:31Z</dcterms:created>
  <dcterms:modified xsi:type="dcterms:W3CDTF">2025-12-15T12:07:45Z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