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threadedComments/threadedComment3.xml" ContentType="application/vnd.ms-excel.threadedcomments+xml"/>
  <Override PartName="/xl/documenttasks/documenttask1.xml" ContentType="application/vnd.ms-excel.documenttask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comments8.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fileSharing readOnlyRecommended="1"/>
  <workbookPr updateLinks="always" codeName="ThisWorkbook" defaultThemeVersion="166925"/>
  <mc:AlternateContent xmlns:mc="http://schemas.openxmlformats.org/markup-compatibility/2006">
    <mc:Choice Requires="x15">
      <x15ac:absPath xmlns:x15ac="http://schemas.microsoft.com/office/spreadsheetml/2010/11/ac" url="https://acornbioenergy.sharepoint.com/sites/AcornBioenergySharedFiles/Shared Documents/01 Active Projects/14 - Ashton Keynes/02 - Sustainability/"/>
    </mc:Choice>
  </mc:AlternateContent>
  <xr:revisionPtr revIDLastSave="704" documentId="8_{9D69FD35-E09C-4792-A57C-0BB08A20A28F}" xr6:coauthVersionLast="47" xr6:coauthVersionMax="47" xr10:uidLastSave="{8FBA1AF9-E64A-4161-8D9B-4DA5DD6FC8BD}"/>
  <bookViews>
    <workbookView xWindow="-120" yWindow="-16320" windowWidth="29040" windowHeight="15720" tabRatio="847" activeTab="4" xr2:uid="{A2D13E7B-62DF-43E7-BD8D-5F5F02401CFE}"/>
  </bookViews>
  <sheets>
    <sheet name="Summary" sheetId="116" r:id="rId1"/>
    <sheet name="Feed + carbon calculator" sheetId="111" r:id="rId2"/>
    <sheet name="Energy centre" sheetId="65" r:id="rId3"/>
    <sheet name="Power requirements" sheetId="101" r:id="rId4"/>
    <sheet name="Transport" sheetId="114" r:id="rId5"/>
    <sheet name="Transport SFLD2" sheetId="113" state="hidden" r:id="rId6"/>
    <sheet name="EnergyConversions" sheetId="24" r:id="rId7"/>
    <sheet name="GHG_Emissions" sheetId="103" r:id="rId8"/>
    <sheet name="GHG_Conversions" sheetId="53" r:id="rId9"/>
    <sheet name="CHP" sheetId="1" state="hidden" r:id="rId10"/>
    <sheet name="Inputs" sheetId="29" state="hidden" r:id="rId11"/>
    <sheet name="Agraferm" sheetId="98" state="hidden" r:id="rId12"/>
  </sheets>
  <externalReferences>
    <externalReference r:id="rId13"/>
    <externalReference r:id="rId14"/>
    <externalReference r:id="rId15"/>
    <externalReference r:id="rId16"/>
  </externalReferences>
  <definedNames>
    <definedName name="_" localSheetId="1">[1]Upgraders!#REF!</definedName>
    <definedName name="_" localSheetId="8">[2]UPGRADERS!#REF!</definedName>
    <definedName name="_" localSheetId="7">[2]UPGRADERS!#REF!</definedName>
    <definedName name="_" localSheetId="5">[3]Upgraders!#REF!</definedName>
    <definedName name="_">[1]Upgraders!#REF!</definedName>
    <definedName name="_1" localSheetId="8">[2]UPGRADERS!#REF!</definedName>
    <definedName name="_1" localSheetId="7">[2]UPGRADERS!#REF!</definedName>
    <definedName name="_1" localSheetId="5">[3]Upgraders!#REF!</definedName>
    <definedName name="_1">[1]Upgraders!#REF!</definedName>
    <definedName name="_1_CAPEX_3" localSheetId="8">'[2]1_CH4_UPGRADE'!$H$38</definedName>
    <definedName name="_1_CAPEX_3" localSheetId="7">'[2]1_CH4_UPGRADE'!$H$38</definedName>
    <definedName name="_1_CAPEX_3" localSheetId="5">'[3]1_CH4_UPGRADE'!$H$38</definedName>
    <definedName name="_1_CAPEX_3">'[1]1_CH4_UPGRADE'!$H$38</definedName>
    <definedName name="_1_OPEX_3" localSheetId="8">'[2]1_CH4_UPGRADE'!$H$58</definedName>
    <definedName name="_1_OPEX_3" localSheetId="7">'[2]1_CH4_UPGRADE'!$H$58</definedName>
    <definedName name="_1_OPEX_3" localSheetId="5">'[3]1_CH4_UPGRADE'!$H$58</definedName>
    <definedName name="_1_OPEX_3">'[1]1_CH4_UPGRADE'!$H$58</definedName>
    <definedName name="_2_CAPEX_3" localSheetId="8">'[2]2_CO2_UPGRADE'!$H$23</definedName>
    <definedName name="_2_CAPEX_3" localSheetId="7">'[2]2_CO2_UPGRADE'!$H$23</definedName>
    <definedName name="_2_CAPEX_3" localSheetId="5">'[3]2_CO2_UPGRADE'!$H$23</definedName>
    <definedName name="_2_CAPEX_3">'[1]2_CO2_UPGRADE'!$H$23</definedName>
    <definedName name="_2_OPEX_3" localSheetId="8">'[2]2_CO2_UPGRADE'!$H$31</definedName>
    <definedName name="_2_OPEX_3" localSheetId="7">'[2]2_CO2_UPGRADE'!$H$31</definedName>
    <definedName name="_2_OPEX_3" localSheetId="5">'[3]2_CO2_UPGRADE'!$H$31</definedName>
    <definedName name="_2_OPEX_3">'[1]2_CO2_UPGRADE'!$H$31</definedName>
    <definedName name="_3_CAPEX_3" localSheetId="8">'[2]3_COMPRESSION'!$H$33</definedName>
    <definedName name="_3_CAPEX_3" localSheetId="7">'[2]3_COMPRESSION'!$H$33</definedName>
    <definedName name="_3_CAPEX_3" localSheetId="5">'[3]3_COMPRESSION'!$H$33</definedName>
    <definedName name="_3_CAPEX_3">'[1]3_COMPRESSION'!$H$33</definedName>
    <definedName name="_3_OPEX_3" localSheetId="8">'[2]3_COMPRESSION'!$H$41</definedName>
    <definedName name="_3_OPEX_3" localSheetId="7">'[2]3_COMPRESSION'!$H$41</definedName>
    <definedName name="_3_OPEX_3" localSheetId="5">'[3]3_COMPRESSION'!$H$41</definedName>
    <definedName name="_3_OPEX_3">'[1]3_COMPRESSION'!$H$41</definedName>
    <definedName name="_4_CAPEX_3" localSheetId="8">'[2]4_CIVILS'!$H$10</definedName>
    <definedName name="_4_CAPEX_3" localSheetId="7">'[2]4_CIVILS'!$H$10</definedName>
    <definedName name="_4_CAPEX_3" localSheetId="5">'[3]4_CIVILS'!$H$10</definedName>
    <definedName name="_4_CAPEX_3">'[1]4_CIVILS'!$H$10</definedName>
    <definedName name="_5_CAPEX_6" localSheetId="8">'[2]5_VIRTUAL-PIPELINE_Budds'!$H$24</definedName>
    <definedName name="_5_CAPEX_6" localSheetId="7">'[2]5_VIRTUAL-PIPELINE_Budds'!$H$24</definedName>
    <definedName name="_5_CAPEX_6" localSheetId="5">'[3]5_VIRTUAL-PIPELINE_Budds'!$H$24</definedName>
    <definedName name="_5_CAPEX_6">'[1]5_VIRTUAL-PIPELINE_Budds'!$H$24</definedName>
    <definedName name="_5_CAPEX_6b">'[4]5_VIRTUAL-PIPELINE'!$J$24</definedName>
    <definedName name="_5_CAPEX_YORKS_1" localSheetId="8">#REF!</definedName>
    <definedName name="_5_CAPEX_YORKS_1" localSheetId="7">#REF!</definedName>
    <definedName name="_5_CAPEX_YORKS_1" localSheetId="5">#REF!</definedName>
    <definedName name="_5_CAPEX_YORKS_1">#REF!</definedName>
    <definedName name="_5_OPEX_3a" localSheetId="8">'[2]5_VIRTUAL-PIPELINE'!$H$30</definedName>
    <definedName name="_5_OPEX_3a" localSheetId="7">'[2]5_VIRTUAL-PIPELINE'!$H$30</definedName>
    <definedName name="_5_OPEX_3a" localSheetId="5">'[3]5_VIRTUAL-PIPELINE'!$H$30</definedName>
    <definedName name="_5_OPEX_3a">'[1]5_VIRTUAL-PIPELINE'!$H$30</definedName>
    <definedName name="_5_OPEX_3b">'[4]5_VIRTUAL-PIPELINE'!$J$30</definedName>
    <definedName name="_6_CAPEX_3" localSheetId="8">'[2]6_INJECTION-HUB'!$I$13</definedName>
    <definedName name="_6_CAPEX_3" localSheetId="7">'[2]6_INJECTION-HUB'!$I$13</definedName>
    <definedName name="_6_CAPEX_3" localSheetId="5">'[3]6_INJECTION-HUB'!$I$13</definedName>
    <definedName name="_6_CAPEX_3">'[1]6_INJECTION-HUB'!$I$13</definedName>
    <definedName name="_6_OPEX_3" localSheetId="8">'[2]6_INJECTION-HUB'!$I$23</definedName>
    <definedName name="_6_OPEX_3" localSheetId="7">'[2]6_INJECTION-HUB'!$I$23</definedName>
    <definedName name="_6_OPEX_3" localSheetId="5">'[3]6_INJECTION-HUB'!$I$23</definedName>
    <definedName name="_6_OPEX_3">'[1]6_INJECTION-HUB'!$I$23</definedName>
    <definedName name="_ANNUAL_BIOGAS_FLOW_1" localSheetId="8">'[2]1_CH4_UPGRADE'!#REF!</definedName>
    <definedName name="_ANNUAL_BIOGAS_FLOW_1" localSheetId="7">'[2]1_CH4_UPGRADE'!#REF!</definedName>
    <definedName name="_ANNUAL_BIOGAS_FLOW_1" localSheetId="5">'[3]1_CH4_UPGRADE'!#REF!</definedName>
    <definedName name="_ANNUAL_BIOGAS_FLOW_1">'[1]1_CH4_UPGRADE'!#REF!</definedName>
    <definedName name="_ANNUAL_BIOGAS_FLOW_2" localSheetId="8">'[2]1_CH4_UPGRADE'!#REF!</definedName>
    <definedName name="_ANNUAL_BIOGAS_FLOW_2" localSheetId="7">'[2]1_CH4_UPGRADE'!#REF!</definedName>
    <definedName name="_ANNUAL_BIOGAS_FLOW_2" localSheetId="5">'[3]1_CH4_UPGRADE'!#REF!</definedName>
    <definedName name="_ANNUAL_BIOGAS_FLOW_2">'[1]1_CH4_UPGRADE'!#REF!</definedName>
    <definedName name="_ANNUAL_BIOGAS_FLOW_3" localSheetId="8">'[2]1_CH4_UPGRADE'!#REF!</definedName>
    <definedName name="_ANNUAL_BIOGAS_FLOW_3" localSheetId="7">'[2]1_CH4_UPGRADE'!#REF!</definedName>
    <definedName name="_ANNUAL_BIOGAS_FLOW_3" localSheetId="5">'[3]1_CH4_UPGRADE'!#REF!</definedName>
    <definedName name="_ANNUAL_BIOGAS_FLOW_3">'[1]1_CH4_UPGRADE'!#REF!</definedName>
    <definedName name="_BIOGAS_ANNUAL_FLOW_3" localSheetId="8">'[2]1_CH4_UPGRADE'!#REF!</definedName>
    <definedName name="_BIOGAS_ANNUAL_FLOW_3" localSheetId="7">'[2]1_CH4_UPGRADE'!#REF!</definedName>
    <definedName name="_BIOGAS_ANNUAL_FLOW_3" localSheetId="5">'[3]1_CH4_UPGRADE'!#REF!</definedName>
    <definedName name="_BIOGAS_ANNUAL_FLOW_3">'[1]1_CH4_UPGRADE'!#REF!</definedName>
    <definedName name="_BIOGAS_CH4_3" localSheetId="8">'[2]1_CH4_UPGRADE'!$H$7</definedName>
    <definedName name="_BIOGAS_CH4_3" localSheetId="7">'[2]1_CH4_UPGRADE'!$H$7</definedName>
    <definedName name="_BIOGAS_CH4_3" localSheetId="5">'[3]1_CH4_UPGRADE'!$H$7</definedName>
    <definedName name="_BIOGAS_CH4_3">'[1]1_CH4_UPGRADE'!$H$7</definedName>
    <definedName name="_BIOGAS_FLOW_1" localSheetId="8">'[2]1_CH4_UPGRADE'!$D$4</definedName>
    <definedName name="_BIOGAS_FLOW_1" localSheetId="7">'[2]1_CH4_UPGRADE'!$D$4</definedName>
    <definedName name="_BIOGAS_FLOW_1" localSheetId="5">'[3]1_CH4_UPGRADE'!$D$4</definedName>
    <definedName name="_BIOGAS_FLOW_1">'[1]1_CH4_UPGRADE'!$D$4</definedName>
    <definedName name="_BIOGAS_FLOW_2" localSheetId="8">'[2]1_CH4_UPGRADE'!$F$4</definedName>
    <definedName name="_BIOGAS_FLOW_2" localSheetId="7">'[2]1_CH4_UPGRADE'!$F$4</definedName>
    <definedName name="_BIOGAS_FLOW_2" localSheetId="5">'[3]1_CH4_UPGRADE'!$F$4</definedName>
    <definedName name="_BIOGAS_FLOW_2">'[1]1_CH4_UPGRADE'!$F$4</definedName>
    <definedName name="_BIOGAS_FLOW_3" localSheetId="8">'[2]1_CH4_UPGRADE'!$H$4</definedName>
    <definedName name="_BIOGAS_FLOW_3" localSheetId="7">'[2]1_CH4_UPGRADE'!$H$4</definedName>
    <definedName name="_BIOGAS_FLOW_3" localSheetId="5">'[3]1_CH4_UPGRADE'!$H$4</definedName>
    <definedName name="_BIOGAS_FLOW_3">'[1]1_CH4_UPGRADE'!$H$4</definedName>
    <definedName name="_BIOM_3" localSheetId="8">'[2]1_CH4_UPGRADE'!$H$23</definedName>
    <definedName name="_BIOM_3" localSheetId="7">'[2]1_CH4_UPGRADE'!$H$23</definedName>
    <definedName name="_BIOM_3" localSheetId="5">'[3]1_CH4_UPGRADE'!$H$23</definedName>
    <definedName name="_BIOM_3">'[1]1_CH4_UPGRADE'!$H$23</definedName>
    <definedName name="_CAPEX" localSheetId="8">#REF!</definedName>
    <definedName name="_CAPEX" localSheetId="7">#REF!</definedName>
    <definedName name="_CAPEX" localSheetId="5">#REF!</definedName>
    <definedName name="_CAPEX">#REF!</definedName>
    <definedName name="_MWH_ANNUAL_3" localSheetId="8">'[2]1_CH4_UPGRADE'!$H$25</definedName>
    <definedName name="_MWH_ANNUAL_3" localSheetId="7">'[2]1_CH4_UPGRADE'!$H$25</definedName>
    <definedName name="_MWH_ANNUAL_3" localSheetId="5">'[3]1_CH4_UPGRADE'!$H$25</definedName>
    <definedName name="_MWH_ANNUAL_3">'[1]1_CH4_UPGRADE'!$H$25</definedName>
    <definedName name="_rate" localSheetId="8">'[2]P&amp;L_BUDDS_1_OLD'!#REF!</definedName>
    <definedName name="_rate" localSheetId="7">'[2]P&amp;L_BUDDS_1_OLD'!#REF!</definedName>
    <definedName name="_rate" localSheetId="5">'[3]P&amp;L_BUDDS_1_OLD'!#REF!</definedName>
    <definedName name="_rate">'[1]P&amp;L_BUDDS_1_OLD'!#REF!</definedName>
    <definedName name="acc_depreciation" localSheetId="8">'[2]0_MAIN'!$D$64</definedName>
    <definedName name="acc_depreciation" localSheetId="7">'[2]0_MAIN'!$D$64</definedName>
    <definedName name="acc_depreciation" localSheetId="5">'[3]0_MAIN'!$D$67</definedName>
    <definedName name="acc_depreciation">'[1]0_MAIN'!$D$67</definedName>
    <definedName name="B_C_1" localSheetId="8">#REF!</definedName>
    <definedName name="B_C_1" localSheetId="7">#REF!</definedName>
    <definedName name="B_C_1" localSheetId="5">#REF!</definedName>
    <definedName name="B_C_1">#REF!</definedName>
    <definedName name="B_C_2" localSheetId="8">#REF!</definedName>
    <definedName name="B_C_2" localSheetId="7">#REF!</definedName>
    <definedName name="B_C_2" localSheetId="5">#REF!</definedName>
    <definedName name="B_C_2">#REF!</definedName>
    <definedName name="B_C_3" localSheetId="8">#REF!</definedName>
    <definedName name="B_C_3" localSheetId="7">#REF!</definedName>
    <definedName name="B_C_3" localSheetId="5">#REF!</definedName>
    <definedName name="B_C_3">#REF!</definedName>
    <definedName name="B_cte" localSheetId="8">#REF!</definedName>
    <definedName name="B_cte" localSheetId="7">#REF!</definedName>
    <definedName name="B_cte" localSheetId="5">#REF!</definedName>
    <definedName name="B_cte">#REF!</definedName>
    <definedName name="Biogas_FR_case1" localSheetId="8">#REF!</definedName>
    <definedName name="Biogas_FR_case1" localSheetId="7">#REF!</definedName>
    <definedName name="Biogas_FR_case1" localSheetId="5">#REF!</definedName>
    <definedName name="Biogas_FR_case1">#REF!</definedName>
    <definedName name="Biogas_FR_case2" localSheetId="8">#REF!</definedName>
    <definedName name="Biogas_FR_case2" localSheetId="7">#REF!</definedName>
    <definedName name="Biogas_FR_case2" localSheetId="5">#REF!</definedName>
    <definedName name="Biogas_FR_case2">#REF!</definedName>
    <definedName name="Biogas_FR_case3" localSheetId="8">#REF!</definedName>
    <definedName name="Biogas_FR_case3" localSheetId="7">#REF!</definedName>
    <definedName name="Biogas_FR_case3" localSheetId="5">#REF!</definedName>
    <definedName name="Biogas_FR_case3">#REF!</definedName>
    <definedName name="case1_e_auxi" localSheetId="8">#REF!</definedName>
    <definedName name="case1_e_auxi" localSheetId="7">#REF!</definedName>
    <definedName name="case1_e_auxi" localSheetId="5">#REF!</definedName>
    <definedName name="case1_e_auxi">#REF!</definedName>
    <definedName name="case1_e_bio" localSheetId="8">#REF!</definedName>
    <definedName name="case1_e_bio" localSheetId="7">#REF!</definedName>
    <definedName name="case1_e_bio" localSheetId="5">#REF!</definedName>
    <definedName name="case1_e_bio">#REF!</definedName>
    <definedName name="case1_e_co2" localSheetId="8">#REF!</definedName>
    <definedName name="case1_e_co2" localSheetId="7">#REF!</definedName>
    <definedName name="case1_e_co2" localSheetId="5">#REF!</definedName>
    <definedName name="case1_e_co2">#REF!</definedName>
    <definedName name="case1_e_comp" localSheetId="8">#REF!</definedName>
    <definedName name="case1_e_comp" localSheetId="7">#REF!</definedName>
    <definedName name="case1_e_comp" localSheetId="5">#REF!</definedName>
    <definedName name="case1_e_comp">#REF!</definedName>
    <definedName name="case2_e_auxi" localSheetId="8">#REF!</definedName>
    <definedName name="case2_e_auxi" localSheetId="7">#REF!</definedName>
    <definedName name="case2_e_auxi" localSheetId="5">#REF!</definedName>
    <definedName name="case2_e_auxi">#REF!</definedName>
    <definedName name="case2_e_bio" localSheetId="8">#REF!</definedName>
    <definedName name="case2_e_bio" localSheetId="7">#REF!</definedName>
    <definedName name="case2_e_bio" localSheetId="5">#REF!</definedName>
    <definedName name="case2_e_bio">#REF!</definedName>
    <definedName name="case2_e_co2" localSheetId="8">#REF!</definedName>
    <definedName name="case2_e_co2" localSheetId="7">#REF!</definedName>
    <definedName name="case2_e_co2" localSheetId="5">#REF!</definedName>
    <definedName name="case2_e_co2">#REF!</definedName>
    <definedName name="case2_e_comp" localSheetId="8">#REF!</definedName>
    <definedName name="case2_e_comp" localSheetId="7">#REF!</definedName>
    <definedName name="case2_e_comp" localSheetId="5">#REF!</definedName>
    <definedName name="case2_e_comp">#REF!</definedName>
    <definedName name="case3_e_auxi" localSheetId="8">#REF!</definedName>
    <definedName name="case3_e_auxi" localSheetId="7">#REF!</definedName>
    <definedName name="case3_e_auxi" localSheetId="5">#REF!</definedName>
    <definedName name="case3_e_auxi">#REF!</definedName>
    <definedName name="case3_e_bio" localSheetId="8">#REF!</definedName>
    <definedName name="case3_e_bio" localSheetId="7">#REF!</definedName>
    <definedName name="case3_e_bio" localSheetId="5">#REF!</definedName>
    <definedName name="case3_e_bio">#REF!</definedName>
    <definedName name="case3_e_co2" localSheetId="8">#REF!</definedName>
    <definedName name="case3_e_co2" localSheetId="7">#REF!</definedName>
    <definedName name="case3_e_co2" localSheetId="5">#REF!</definedName>
    <definedName name="case3_e_co2">#REF!</definedName>
    <definedName name="case3_e_comp" localSheetId="8">#REF!</definedName>
    <definedName name="case3_e_comp" localSheetId="7">#REF!</definedName>
    <definedName name="case3_e_comp" localSheetId="5">#REF!</definedName>
    <definedName name="case3_e_comp">#REF!</definedName>
    <definedName name="cCH4_BIOCH4_1" localSheetId="8">#REF!</definedName>
    <definedName name="cCH4_BIOCH4_1" localSheetId="7">#REF!</definedName>
    <definedName name="cCH4_BIOCH4_1" localSheetId="5">#REF!</definedName>
    <definedName name="cCH4_BIOCH4_1">#REF!</definedName>
    <definedName name="cCH4_BIOCH4_2" localSheetId="8">#REF!</definedName>
    <definedName name="cCH4_BIOCH4_2" localSheetId="7">#REF!</definedName>
    <definedName name="cCH4_BIOCH4_2" localSheetId="5">#REF!</definedName>
    <definedName name="cCH4_BIOCH4_2">#REF!</definedName>
    <definedName name="cCH4_BIOCH4_3" localSheetId="8">#REF!</definedName>
    <definedName name="cCH4_BIOCH4_3" localSheetId="7">#REF!</definedName>
    <definedName name="cCH4_BIOCH4_3" localSheetId="5">#REF!</definedName>
    <definedName name="cCH4_BIOCH4_3">#REF!</definedName>
    <definedName name="cCH4_biogas1" localSheetId="8">#REF!</definedName>
    <definedName name="cCH4_biogas1" localSheetId="7">#REF!</definedName>
    <definedName name="cCH4_biogas1" localSheetId="5">#REF!</definedName>
    <definedName name="cCH4_biogas1">#REF!</definedName>
    <definedName name="cCH4_biogas2" localSheetId="8">#REF!</definedName>
    <definedName name="cCH4_biogas2" localSheetId="7">#REF!</definedName>
    <definedName name="cCH4_biogas2" localSheetId="5">#REF!</definedName>
    <definedName name="cCH4_biogas2">#REF!</definedName>
    <definedName name="cCH4_biogas3" localSheetId="8">#REF!</definedName>
    <definedName name="cCH4_biogas3" localSheetId="7">#REF!</definedName>
    <definedName name="cCH4_biogas3" localSheetId="5">#REF!</definedName>
    <definedName name="cCH4_biogas3">#REF!</definedName>
    <definedName name="cH2S_biogas1" localSheetId="8">#REF!</definedName>
    <definedName name="cH2S_biogas1" localSheetId="7">#REF!</definedName>
    <definedName name="cH2S_biogas1" localSheetId="5">#REF!</definedName>
    <definedName name="cH2S_biogas1">#REF!</definedName>
    <definedName name="cH2S_biogas2" localSheetId="8">#REF!</definedName>
    <definedName name="cH2S_biogas2" localSheetId="7">#REF!</definedName>
    <definedName name="cH2S_biogas2" localSheetId="5">#REF!</definedName>
    <definedName name="cH2S_biogas2">#REF!</definedName>
    <definedName name="cH2S_biogas3" localSheetId="8">#REF!</definedName>
    <definedName name="cH2S_biogas3" localSheetId="7">#REF!</definedName>
    <definedName name="cH2S_biogas3" localSheetId="5">#REF!</definedName>
    <definedName name="cH2S_biogas3">#REF!</definedName>
    <definedName name="CH4_GCV" localSheetId="8">'[2]0_MAIN'!$D$43</definedName>
    <definedName name="CH4_GCV" localSheetId="7">'[2]0_MAIN'!$D$43</definedName>
    <definedName name="CH4_GCV" localSheetId="5">'[3]0_MAIN'!$D$46</definedName>
    <definedName name="CH4_GCV">'[1]0_MAIN'!$D$46</definedName>
    <definedName name="CH4_GCV_Nm3" localSheetId="8">'[2]0_MAIN'!$D$43</definedName>
    <definedName name="CH4_GCV_Nm3" localSheetId="7">'[2]0_MAIN'!$D$43</definedName>
    <definedName name="CH4_GCV_Nm3" localSheetId="5">'[3]0_MAIN'!$D$46</definedName>
    <definedName name="CH4_GCV_Nm3">'[1]0_MAIN'!$D$46</definedName>
    <definedName name="CH4_GCV_Sm3" localSheetId="8">'[2]0_MAIN'!$D$44</definedName>
    <definedName name="CH4_GCV_Sm3" localSheetId="7">'[2]0_MAIN'!$D$44</definedName>
    <definedName name="CH4_GCV_Sm3" localSheetId="5">'[3]0_MAIN'!$D$47</definedName>
    <definedName name="CH4_GCV_Sm3">'[1]0_MAIN'!$D$47</definedName>
    <definedName name="CO2_upgrade" localSheetId="8">'[2]0_MAIN'!$D$79</definedName>
    <definedName name="CO2_upgrade" localSheetId="7">'[2]0_MAIN'!$D$79</definedName>
    <definedName name="CO2_upgrade" localSheetId="5">'[3]0_MAIN'!$D$82</definedName>
    <definedName name="CO2_upgrade">'[1]0_MAIN'!$D$82</definedName>
    <definedName name="Comp_elec" localSheetId="8">#REF!</definedName>
    <definedName name="Comp_elec" localSheetId="7">#REF!</definedName>
    <definedName name="Comp_elec" localSheetId="5">#REF!</definedName>
    <definedName name="Comp_elec">#REF!</definedName>
    <definedName name="deg" localSheetId="8">'[2]0_MAIN'!#REF!</definedName>
    <definedName name="deg" localSheetId="7">'[2]0_MAIN'!#REF!</definedName>
    <definedName name="deg" localSheetId="5">'[3]0_MAIN'!#REF!</definedName>
    <definedName name="deg">'[1]0_MAIN'!#REF!</definedName>
    <definedName name="e_price" localSheetId="8">'[2]0_MAIN'!$D$53</definedName>
    <definedName name="e_price" localSheetId="7">'[2]0_MAIN'!$D$53</definedName>
    <definedName name="e_price" localSheetId="5">'[3]0_MAIN'!$D$56</definedName>
    <definedName name="e_price">'[1]0_MAIN'!$D$56</definedName>
    <definedName name="exchange_rate" localSheetId="8">'[2]0_MAIN'!$D$69</definedName>
    <definedName name="exchange_rate" localSheetId="7">'[2]0_MAIN'!$D$69</definedName>
    <definedName name="exchange_rate" localSheetId="5">'[3]0_MAIN'!$D$72</definedName>
    <definedName name="exchange_rate">'[1]0_MAIN'!$D$72</definedName>
    <definedName name="Fix_1" localSheetId="8">#REF!</definedName>
    <definedName name="Fix_1" localSheetId="7">#REF!</definedName>
    <definedName name="Fix_1" localSheetId="5">#REF!</definedName>
    <definedName name="Fix_1">#REF!</definedName>
    <definedName name="Fix_2" localSheetId="8">#REF!</definedName>
    <definedName name="Fix_2" localSheetId="7">#REF!</definedName>
    <definedName name="Fix_2" localSheetId="5">#REF!</definedName>
    <definedName name="Fix_2">#REF!</definedName>
    <definedName name="Fix_3" localSheetId="8">#REF!</definedName>
    <definedName name="Fix_3" localSheetId="7">#REF!</definedName>
    <definedName name="Fix_3" localSheetId="5">#REF!</definedName>
    <definedName name="Fix_3">#REF!</definedName>
    <definedName name="Fix_Costs" localSheetId="8">#REF!</definedName>
    <definedName name="Fix_Costs" localSheetId="7">#REF!</definedName>
    <definedName name="Fix_Costs" localSheetId="5">#REF!</definedName>
    <definedName name="Fix_Costs">#REF!</definedName>
    <definedName name="GCV_target" localSheetId="8">'[2]0_MAIN'!$D$45</definedName>
    <definedName name="GCV_target" localSheetId="7">'[2]0_MAIN'!$D$45</definedName>
    <definedName name="GCV_target" localSheetId="5">'[3]0_MAIN'!$D$48</definedName>
    <definedName name="GCV_target">'[1]0_MAIN'!$D$48</definedName>
    <definedName name="GEU_elec" localSheetId="8">#REF!</definedName>
    <definedName name="GEU_elec" localSheetId="7">#REF!</definedName>
    <definedName name="GEU_elec" localSheetId="5">#REF!</definedName>
    <definedName name="GEU_elec">#REF!</definedName>
    <definedName name="GHG_Emissions2" localSheetId="1">[3]Upgraders!#REF!</definedName>
    <definedName name="GHG_Emissions2" localSheetId="5">[3]Upgraders!#REF!</definedName>
    <definedName name="GHG_Emissions2">[3]Upgraders!#REF!</definedName>
    <definedName name="H2S_config_1" localSheetId="8">#REF!</definedName>
    <definedName name="H2S_config_1" localSheetId="7">#REF!</definedName>
    <definedName name="H2S_config_1" localSheetId="5">#REF!</definedName>
    <definedName name="H2S_config_1">#REF!</definedName>
    <definedName name="H2S_config_2" localSheetId="8">#REF!</definedName>
    <definedName name="H2S_config_2" localSheetId="7">#REF!</definedName>
    <definedName name="H2S_config_2" localSheetId="5">#REF!</definedName>
    <definedName name="H2S_config_2">#REF!</definedName>
    <definedName name="H2S_config_3" localSheetId="8">#REF!</definedName>
    <definedName name="H2S_config_3" localSheetId="7">#REF!</definedName>
    <definedName name="H2S_config_3" localSheetId="5">#REF!</definedName>
    <definedName name="H2S_config_3">#REF!</definedName>
    <definedName name="H2S_Sat_1_vessel" localSheetId="8">'[2]Adsorbant costs'!$I$5</definedName>
    <definedName name="H2S_Sat_1_vessel" localSheetId="7">'[2]Adsorbant costs'!$I$5</definedName>
    <definedName name="H2S_Sat_1_vessel" localSheetId="5">'[3]Adsorbant costs'!$I$5</definedName>
    <definedName name="H2S_Sat_1_vessel">'[1]Adsorbant costs'!$I$5</definedName>
    <definedName name="H2S_Sat_2_vessel" localSheetId="8">'[2]Adsorbant costs'!$J$5</definedName>
    <definedName name="H2S_Sat_2_vessel" localSheetId="7">'[2]Adsorbant costs'!$J$5</definedName>
    <definedName name="H2S_Sat_2_vessel" localSheetId="5">'[3]Adsorbant costs'!$J$5</definedName>
    <definedName name="H2S_Sat_2_vessel">'[1]Adsorbant costs'!$J$5</definedName>
    <definedName name="Inlet_FR_1" localSheetId="8">#REF!</definedName>
    <definedName name="Inlet_FR_1" localSheetId="7">#REF!</definedName>
    <definedName name="Inlet_FR_1" localSheetId="5">#REF!</definedName>
    <definedName name="Inlet_FR_1">#REF!</definedName>
    <definedName name="Inlet_FR_2" localSheetId="8">#REF!</definedName>
    <definedName name="Inlet_FR_2" localSheetId="7">#REF!</definedName>
    <definedName name="Inlet_FR_2" localSheetId="5">#REF!</definedName>
    <definedName name="Inlet_FR_2">#REF!</definedName>
    <definedName name="Inlet_FR_3" localSheetId="8">#REF!</definedName>
    <definedName name="Inlet_FR_3" localSheetId="7">#REF!</definedName>
    <definedName name="Inlet_FR_3" localSheetId="5">#REF!</definedName>
    <definedName name="Inlet_FR_3">#REF!</definedName>
    <definedName name="LPG_density" localSheetId="8">'[2]0_MAIN'!$D$48</definedName>
    <definedName name="LPG_density" localSheetId="7">'[2]0_MAIN'!$D$48</definedName>
    <definedName name="LPG_density" localSheetId="5">'[3]0_MAIN'!$D$51</definedName>
    <definedName name="LPG_density">'[1]0_MAIN'!$D$51</definedName>
    <definedName name="LTier_1" localSheetId="8">#REF!</definedName>
    <definedName name="LTier_1" localSheetId="7">#REF!</definedName>
    <definedName name="LTier_1" localSheetId="5">#REF!</definedName>
    <definedName name="LTier_1">#REF!</definedName>
    <definedName name="LTier_2" localSheetId="8">#REF!</definedName>
    <definedName name="LTier_2" localSheetId="7">#REF!</definedName>
    <definedName name="LTier_2" localSheetId="5">#REF!</definedName>
    <definedName name="LTier_2">#REF!</definedName>
    <definedName name="MRR_1" localSheetId="8">#REF!</definedName>
    <definedName name="MRR_1" localSheetId="7">#REF!</definedName>
    <definedName name="MRR_1" localSheetId="5">#REF!</definedName>
    <definedName name="MRR_1">#REF!</definedName>
    <definedName name="MRR_2" localSheetId="8">#REF!</definedName>
    <definedName name="MRR_2" localSheetId="7">#REF!</definedName>
    <definedName name="MRR_2" localSheetId="5">#REF!</definedName>
    <definedName name="MRR_2">#REF!</definedName>
    <definedName name="MRR_3" localSheetId="8">#REF!</definedName>
    <definedName name="MRR_3" localSheetId="7">#REF!</definedName>
    <definedName name="MRR_3" localSheetId="5">#REF!</definedName>
    <definedName name="MRR_3">#REF!</definedName>
    <definedName name="nb_degression" localSheetId="8">'[2]0_MAIN'!#REF!</definedName>
    <definedName name="nb_degression" localSheetId="7">'[2]0_MAIN'!#REF!</definedName>
    <definedName name="nb_degression" localSheetId="5">'[3]0_MAIN'!#REF!</definedName>
    <definedName name="nb_degression">'[1]0_MAIN'!#REF!</definedName>
    <definedName name="P_1" localSheetId="8">#REF!</definedName>
    <definedName name="P_1" localSheetId="7">#REF!</definedName>
    <definedName name="P_1" localSheetId="5">#REF!</definedName>
    <definedName name="P_1">#REF!</definedName>
    <definedName name="P_2" localSheetId="8">#REF!</definedName>
    <definedName name="P_2" localSheetId="7">#REF!</definedName>
    <definedName name="P_2" localSheetId="5">#REF!</definedName>
    <definedName name="P_2">#REF!</definedName>
    <definedName name="P_3" localSheetId="8">#REF!</definedName>
    <definedName name="P_3" localSheetId="7">#REF!</definedName>
    <definedName name="P_3" localSheetId="5">#REF!</definedName>
    <definedName name="P_3">#REF!</definedName>
    <definedName name="P_H2S" localSheetId="8">'[2]Adsorbant costs'!$E$5</definedName>
    <definedName name="P_H2S" localSheetId="7">'[2]Adsorbant costs'!$E$5</definedName>
    <definedName name="P_H2S" localSheetId="5">'[3]Adsorbant costs'!$E$5</definedName>
    <definedName name="P_H2S">'[1]Adsorbant costs'!$E$5</definedName>
    <definedName name="P_VOC" localSheetId="8">'[2]Adsorbant costs'!$E$4</definedName>
    <definedName name="P_VOC" localSheetId="7">'[2]Adsorbant costs'!$E$4</definedName>
    <definedName name="P_VOC" localSheetId="5">'[3]Adsorbant costs'!$E$4</definedName>
    <definedName name="P_VOC">'[1]Adsorbant costs'!$E$4</definedName>
    <definedName name="Prod_1" localSheetId="8">#REF!</definedName>
    <definedName name="Prod_1" localSheetId="7">#REF!</definedName>
    <definedName name="Prod_1" localSheetId="5">#REF!</definedName>
    <definedName name="Prod_1">#REF!</definedName>
    <definedName name="Prod_2" localSheetId="8">#REF!</definedName>
    <definedName name="Prod_2" localSheetId="7">#REF!</definedName>
    <definedName name="Prod_2" localSheetId="5">#REF!</definedName>
    <definedName name="Prod_2">#REF!</definedName>
    <definedName name="Prod_3" localSheetId="8">#REF!</definedName>
    <definedName name="Prod_3" localSheetId="7">#REF!</definedName>
    <definedName name="Prod_3" localSheetId="5">#REF!</definedName>
    <definedName name="Prod_3">#REF!</definedName>
    <definedName name="prop_elec" localSheetId="8">#REF!</definedName>
    <definedName name="prop_elec" localSheetId="7">#REF!</definedName>
    <definedName name="prop_elec" localSheetId="5">#REF!</definedName>
    <definedName name="prop_elec">#REF!</definedName>
    <definedName name="Prop_price" localSheetId="8">'[2]0_MAIN'!$D$58</definedName>
    <definedName name="Prop_price" localSheetId="7">'[2]0_MAIN'!$D$58</definedName>
    <definedName name="Prop_price" localSheetId="5">'[3]0_MAIN'!$D$61</definedName>
    <definedName name="Prop_price">'[1]0_MAIN'!$D$61</definedName>
    <definedName name="Propane_Blending" localSheetId="8">'[2]0_MAIN'!$D$47</definedName>
    <definedName name="Propane_Blending" localSheetId="7">'[2]0_MAIN'!$D$47</definedName>
    <definedName name="Propane_Blending" localSheetId="5">'[3]0_MAIN'!$D$50</definedName>
    <definedName name="Propane_Blending">'[1]0_MAIN'!$D$50</definedName>
    <definedName name="Propane_GCV" localSheetId="8">'[2]0_MAIN'!$D$46</definedName>
    <definedName name="Propane_GCV" localSheetId="7">'[2]0_MAIN'!$D$46</definedName>
    <definedName name="Propane_GCV" localSheetId="5">'[3]0_MAIN'!$D$49</definedName>
    <definedName name="Propane_GCV">'[1]0_MAIN'!$D$49</definedName>
    <definedName name="RHI_Tier1" localSheetId="8">#REF!</definedName>
    <definedName name="RHI_Tier1" localSheetId="7">#REF!</definedName>
    <definedName name="RHI_Tier1" localSheetId="5">#REF!</definedName>
    <definedName name="RHI_Tier1">#REF!</definedName>
    <definedName name="RTFC_CASES" localSheetId="8">'[2]0_MAIN'!#REF!</definedName>
    <definedName name="RTFC_CASES" localSheetId="7">'[2]0_MAIN'!#REF!</definedName>
    <definedName name="RTFC_CASES" localSheetId="5">'[3]0_MAIN'!#REF!</definedName>
    <definedName name="RTFC_CASES">'[1]0_MAIN'!#REF!</definedName>
    <definedName name="RTFC_Opt" localSheetId="8">'[2]0_MAIN'!#REF!</definedName>
    <definedName name="RTFC_Opt" localSheetId="7">'[2]0_MAIN'!#REF!</definedName>
    <definedName name="RTFC_Opt" localSheetId="5">'[3]0_MAIN'!#REF!</definedName>
    <definedName name="RTFC_Opt">'[1]0_MAIN'!#REF!</definedName>
    <definedName name="RTFC_VAL" localSheetId="8">'[2]0_MAIN'!$D$85</definedName>
    <definedName name="RTFC_VAL" localSheetId="7">'[2]0_MAIN'!$D$85</definedName>
    <definedName name="RTFC_VAL" localSheetId="5">'[3]0_MAIN'!$D$88</definedName>
    <definedName name="RTFC_VAL">'[1]0_MAIN'!$D$88</definedName>
    <definedName name="RTFC1" localSheetId="8">#REF!</definedName>
    <definedName name="RTFC1" localSheetId="7">#REF!</definedName>
    <definedName name="RTFC1" localSheetId="5">#REF!</definedName>
    <definedName name="RTFC1">#REF!</definedName>
    <definedName name="RTFC2" localSheetId="8">#REF!</definedName>
    <definedName name="RTFC2" localSheetId="7">#REF!</definedName>
    <definedName name="RTFC2" localSheetId="5">#REF!</definedName>
    <definedName name="RTFC2">#REF!</definedName>
    <definedName name="RTFC3" localSheetId="8">#REF!</definedName>
    <definedName name="RTFC3" localSheetId="7">#REF!</definedName>
    <definedName name="RTFC3" localSheetId="5">#REF!</definedName>
    <definedName name="RTFC3">#REF!</definedName>
    <definedName name="SP_1" localSheetId="8">#REF!</definedName>
    <definedName name="SP_1" localSheetId="7">#REF!</definedName>
    <definedName name="SP_1" localSheetId="5">#REF!</definedName>
    <definedName name="SP_1">#REF!</definedName>
    <definedName name="SP_2" localSheetId="8">#REF!</definedName>
    <definedName name="SP_2" localSheetId="7">#REF!</definedName>
    <definedName name="SP_2" localSheetId="5">#REF!</definedName>
    <definedName name="SP_2">#REF!</definedName>
    <definedName name="SP_3" localSheetId="8">#REF!</definedName>
    <definedName name="SP_3" localSheetId="7">#REF!</definedName>
    <definedName name="SP_3" localSheetId="5">#REF!</definedName>
    <definedName name="SP_3">#REF!</definedName>
    <definedName name="Transport">[1]Upgraders!#REF!</definedName>
    <definedName name="TTier_1" localSheetId="8">#REF!</definedName>
    <definedName name="TTier_1" localSheetId="7">#REF!</definedName>
    <definedName name="TTier_1" localSheetId="5">#REF!</definedName>
    <definedName name="TTier_1">#REF!</definedName>
    <definedName name="TTier_11" localSheetId="8">#REF!</definedName>
    <definedName name="TTier_11" localSheetId="7">#REF!</definedName>
    <definedName name="TTier_11" localSheetId="5">#REF!</definedName>
    <definedName name="TTier_11">#REF!</definedName>
    <definedName name="TTier_2" localSheetId="8">#REF!</definedName>
    <definedName name="TTier_2" localSheetId="7">#REF!</definedName>
    <definedName name="TTier_2" localSheetId="5">#REF!</definedName>
    <definedName name="TTier_2">#REF!</definedName>
    <definedName name="TTier_22" localSheetId="8">#REF!</definedName>
    <definedName name="TTier_22" localSheetId="7">#REF!</definedName>
    <definedName name="TTier_22" localSheetId="5">#REF!</definedName>
    <definedName name="TTier_22">#REF!</definedName>
    <definedName name="TTier_3" localSheetId="8">#REF!</definedName>
    <definedName name="TTier_3" localSheetId="7">#REF!</definedName>
    <definedName name="TTier_3" localSheetId="5">#REF!</definedName>
    <definedName name="TTier_3">#REF!</definedName>
    <definedName name="TTier_33" localSheetId="8">#REF!</definedName>
    <definedName name="TTier_33" localSheetId="7">#REF!</definedName>
    <definedName name="TTier_33" localSheetId="5">#REF!</definedName>
    <definedName name="TTier_33">#REF!</definedName>
    <definedName name="VOC_config_1" localSheetId="8">#REF!</definedName>
    <definedName name="VOC_config_1" localSheetId="7">#REF!</definedName>
    <definedName name="VOC_config_1" localSheetId="5">#REF!</definedName>
    <definedName name="VOC_config_1">#REF!</definedName>
    <definedName name="VOC_config_2" localSheetId="8">#REF!</definedName>
    <definedName name="VOC_config_2" localSheetId="7">#REF!</definedName>
    <definedName name="VOC_config_2" localSheetId="5">#REF!</definedName>
    <definedName name="VOC_config_2">#REF!</definedName>
    <definedName name="VOC_config_3" localSheetId="8">#REF!</definedName>
    <definedName name="VOC_config_3" localSheetId="7">#REF!</definedName>
    <definedName name="VOC_config_3" localSheetId="5">#REF!</definedName>
    <definedName name="VOC_config_3">#REF!</definedName>
    <definedName name="VOC_Sat_1_vessel" localSheetId="8">'[2]Adsorbant costs'!$I$4</definedName>
    <definedName name="VOC_Sat_1_vessel" localSheetId="7">'[2]Adsorbant costs'!$I$4</definedName>
    <definedName name="VOC_Sat_1_vessel" localSheetId="5">'[3]Adsorbant costs'!$I$4</definedName>
    <definedName name="VOC_Sat_1_vessel">'[1]Adsorbant costs'!$I$4</definedName>
    <definedName name="VOC_Sat_2_vessel" localSheetId="8">'[2]Adsorbant costs'!$J$4</definedName>
    <definedName name="VOC_Sat_2_vessel" localSheetId="7">'[2]Adsorbant costs'!$J$4</definedName>
    <definedName name="VOC_Sat_2_vessel" localSheetId="5">'[3]Adsorbant costs'!$J$4</definedName>
    <definedName name="VOC_Sat_2_vessel">'[1]Adsorbant costs'!$J$4</definedName>
    <definedName name="WS_1" localSheetId="8">#REF!</definedName>
    <definedName name="WS_1" localSheetId="7">#REF!</definedName>
    <definedName name="WS_1" localSheetId="5">#REF!</definedName>
    <definedName name="WS_1">#REF!</definedName>
    <definedName name="WS_2" localSheetId="8">#REF!</definedName>
    <definedName name="WS_2" localSheetId="7">#REF!</definedName>
    <definedName name="WS_2" localSheetId="5">#REF!</definedName>
    <definedName name="WS_2">#REF!</definedName>
    <definedName name="WS_3" localSheetId="8">#REF!</definedName>
    <definedName name="WS_3" localSheetId="7">#REF!</definedName>
    <definedName name="WS_3" localSheetId="5">#REF!</definedName>
    <definedName name="WS_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14" l="1"/>
  <c r="D22" i="114"/>
  <c r="D21" i="114"/>
  <c r="D17" i="114"/>
  <c r="D18" i="114"/>
  <c r="D19" i="114"/>
  <c r="D16" i="114"/>
  <c r="D6" i="114"/>
  <c r="D7" i="114"/>
  <c r="D8" i="114"/>
  <c r="D9" i="114"/>
  <c r="D10" i="114"/>
  <c r="D11" i="114"/>
  <c r="D12" i="114"/>
  <c r="D13" i="114"/>
  <c r="D14" i="114"/>
  <c r="D5" i="114"/>
  <c r="C8" i="116"/>
  <c r="F6" i="116"/>
  <c r="C4" i="116"/>
  <c r="I28" i="111"/>
  <c r="FP3" i="111" s="1"/>
  <c r="K17" i="114"/>
  <c r="M17" i="114" s="1"/>
  <c r="L17" i="114"/>
  <c r="K18" i="114"/>
  <c r="M18" i="114" s="1"/>
  <c r="L18" i="114"/>
  <c r="K19" i="114"/>
  <c r="L19" i="114"/>
  <c r="M19" i="114" s="1"/>
  <c r="K6" i="114"/>
  <c r="L6" i="114" s="1"/>
  <c r="K7" i="114"/>
  <c r="L7" i="114" s="1"/>
  <c r="K8" i="114"/>
  <c r="L8" i="114"/>
  <c r="M8" i="114"/>
  <c r="K9" i="114"/>
  <c r="L9" i="114"/>
  <c r="M9" i="114"/>
  <c r="K10" i="114"/>
  <c r="L10" i="114"/>
  <c r="M10" i="114"/>
  <c r="CX5" i="111" s="1"/>
  <c r="CY5" i="111" s="1"/>
  <c r="K11" i="114"/>
  <c r="M11" i="114" s="1"/>
  <c r="CX6" i="111" s="1"/>
  <c r="CY6" i="111" s="1"/>
  <c r="L11" i="114"/>
  <c r="K12" i="114"/>
  <c r="M12" i="114" s="1"/>
  <c r="CX7" i="111" s="1"/>
  <c r="CY7" i="111" s="1"/>
  <c r="L12" i="114"/>
  <c r="K13" i="114"/>
  <c r="L13" i="114"/>
  <c r="M13" i="114"/>
  <c r="K14" i="114"/>
  <c r="L14" i="114"/>
  <c r="M14" i="114"/>
  <c r="CX9" i="111" s="1"/>
  <c r="CY9" i="111" s="1"/>
  <c r="CX10" i="111"/>
  <c r="CX11" i="111"/>
  <c r="CX12" i="111"/>
  <c r="CX13" i="111"/>
  <c r="CX14" i="111"/>
  <c r="CX15" i="111"/>
  <c r="CX16" i="111"/>
  <c r="CX17" i="111"/>
  <c r="CX18" i="111"/>
  <c r="CX8" i="111"/>
  <c r="CY8" i="111" s="1"/>
  <c r="B6" i="114"/>
  <c r="B8" i="114"/>
  <c r="W3" i="111"/>
  <c r="J22" i="114"/>
  <c r="J21" i="114"/>
  <c r="J5" i="114"/>
  <c r="H6" i="114"/>
  <c r="J6" i="114" s="1"/>
  <c r="H7" i="114"/>
  <c r="J7" i="114" s="1"/>
  <c r="H8" i="114"/>
  <c r="J8" i="114" s="1"/>
  <c r="H9" i="114"/>
  <c r="J9" i="114" s="1"/>
  <c r="H10" i="114"/>
  <c r="J10" i="114" s="1"/>
  <c r="H11" i="114"/>
  <c r="H12" i="114"/>
  <c r="H5" i="114"/>
  <c r="B7" i="114"/>
  <c r="D21" i="111"/>
  <c r="E21" i="111"/>
  <c r="F21" i="111"/>
  <c r="G21" i="111"/>
  <c r="C21" i="111"/>
  <c r="M7" i="114" l="1"/>
  <c r="CX4" i="111" s="1"/>
  <c r="CY4" i="111" s="1"/>
  <c r="M6" i="114"/>
  <c r="I4" i="111"/>
  <c r="H4" i="111" s="1"/>
  <c r="I5" i="111"/>
  <c r="H5" i="111" s="1"/>
  <c r="I6" i="111"/>
  <c r="H6" i="111" s="1"/>
  <c r="I7" i="111"/>
  <c r="H7" i="111" s="1"/>
  <c r="I8" i="111"/>
  <c r="H8" i="111" s="1"/>
  <c r="I9" i="111"/>
  <c r="H9" i="111" s="1"/>
  <c r="AY4" i="111" l="1"/>
  <c r="AY5" i="111"/>
  <c r="AT4" i="111"/>
  <c r="AT5" i="111"/>
  <c r="AF5" i="111" l="1"/>
  <c r="AI5" i="111"/>
  <c r="AJ5" i="111" s="1"/>
  <c r="BQ4" i="111"/>
  <c r="BV4" i="111"/>
  <c r="CA4" i="111"/>
  <c r="CF4" i="111"/>
  <c r="CL4" i="111"/>
  <c r="C14" i="114" l="1"/>
  <c r="J14" i="114" s="1"/>
  <c r="C11" i="114"/>
  <c r="J11" i="114" s="1"/>
  <c r="C12" i="114"/>
  <c r="J12" i="114" s="1"/>
  <c r="C13" i="114"/>
  <c r="J13" i="114" s="1"/>
  <c r="B9" i="114"/>
  <c r="B11" i="114"/>
  <c r="B12" i="114"/>
  <c r="B13" i="114"/>
  <c r="B14" i="114"/>
  <c r="B5" i="114"/>
  <c r="AO4" i="111" l="1"/>
  <c r="V4" i="111"/>
  <c r="AF4" i="111"/>
  <c r="AI4" i="111"/>
  <c r="AJ4" i="111" s="1"/>
  <c r="Q4" i="111"/>
  <c r="R4" i="111" s="1"/>
  <c r="BP4" i="111" l="1"/>
  <c r="BR4" i="111" s="1"/>
  <c r="CE4" i="111"/>
  <c r="CG4" i="111" s="1"/>
  <c r="BU4" i="111"/>
  <c r="BW4" i="111" s="1"/>
  <c r="BZ4" i="111"/>
  <c r="CB4" i="111" s="1"/>
  <c r="AK4" i="111"/>
  <c r="AW4" i="111" s="1"/>
  <c r="AX4" i="111" s="1"/>
  <c r="AZ4" i="111" s="1"/>
  <c r="W4" i="111"/>
  <c r="AG4" i="111"/>
  <c r="AR4" i="111" s="1"/>
  <c r="AS4" i="111" s="1"/>
  <c r="AU4" i="111" s="1"/>
  <c r="AM4" i="111" l="1"/>
  <c r="BI4" i="111"/>
  <c r="BC4" i="111"/>
  <c r="Q3" i="111"/>
  <c r="R3" i="111" s="1"/>
  <c r="Q5" i="111"/>
  <c r="R5" i="111" s="1"/>
  <c r="BB4" i="111" l="1"/>
  <c r="BD4" i="111" s="1"/>
  <c r="BE4" i="111" s="1"/>
  <c r="BH4" i="111"/>
  <c r="BJ4" i="111" s="1"/>
  <c r="BK4" i="111" s="1"/>
  <c r="BL4" i="111" s="1"/>
  <c r="AN4" i="111"/>
  <c r="AP4" i="111" s="1"/>
  <c r="BF4" i="111" l="1"/>
  <c r="I10" i="111"/>
  <c r="H10" i="111" l="1"/>
  <c r="AS17" i="65" l="1"/>
  <c r="AS18" i="65" s="1"/>
  <c r="F17" i="116"/>
  <c r="F18" i="116" s="1"/>
  <c r="F5" i="116" s="1"/>
  <c r="AS6" i="65"/>
  <c r="C36" i="101"/>
  <c r="C33" i="101"/>
  <c r="D31" i="101"/>
  <c r="F31" i="101" s="1"/>
  <c r="F33" i="101"/>
  <c r="F32" i="101"/>
  <c r="G38" i="65"/>
  <c r="G52" i="65"/>
  <c r="H33" i="65"/>
  <c r="EU21" i="111"/>
  <c r="EP21" i="111"/>
  <c r="CL5" i="111"/>
  <c r="CF5" i="111"/>
  <c r="CA5" i="111"/>
  <c r="BV5" i="111"/>
  <c r="BQ3" i="111"/>
  <c r="BV3" i="111"/>
  <c r="BQ5" i="111"/>
  <c r="Y3" i="111"/>
  <c r="AO5" i="111"/>
  <c r="AO3" i="111"/>
  <c r="AT3" i="111"/>
  <c r="AY3" i="111"/>
  <c r="AI3" i="111"/>
  <c r="AJ3" i="111" s="1"/>
  <c r="AF3" i="111"/>
  <c r="V3" i="111" l="1"/>
  <c r="AM3" i="111"/>
  <c r="BB3" i="111" s="1"/>
  <c r="V5" i="111"/>
  <c r="AG5" i="111" l="1"/>
  <c r="AR5" i="111" s="1"/>
  <c r="AS5" i="111" s="1"/>
  <c r="AU5" i="111" s="1"/>
  <c r="AK5" i="111"/>
  <c r="AW5" i="111" s="1"/>
  <c r="AX5" i="111" s="1"/>
  <c r="AZ5" i="111" s="1"/>
  <c r="AM5" i="111"/>
  <c r="BC5" i="111"/>
  <c r="BI5" i="111"/>
  <c r="BC3" i="111"/>
  <c r="BI3" i="111"/>
  <c r="AG3" i="111"/>
  <c r="AR3" i="111" s="1"/>
  <c r="AK3" i="111"/>
  <c r="AW3" i="111" s="1"/>
  <c r="BB5" i="111" l="1"/>
  <c r="BD5" i="111" s="1"/>
  <c r="BE5" i="111" s="1"/>
  <c r="BH5" i="111"/>
  <c r="BH3" i="111"/>
  <c r="BD3" i="111"/>
  <c r="BE3" i="111" s="1"/>
  <c r="CX19" i="111"/>
  <c r="CX20" i="111"/>
  <c r="BJ3" i="111" l="1"/>
  <c r="BK3" i="111" s="1"/>
  <c r="BL3" i="111" s="1"/>
  <c r="BJ5" i="111"/>
  <c r="BK5" i="111" s="1"/>
  <c r="BL5" i="111" s="1"/>
  <c r="BF3" i="111"/>
  <c r="BF5" i="111"/>
  <c r="J17" i="114"/>
  <c r="K5" i="114"/>
  <c r="L5" i="114" s="1"/>
  <c r="AS7" i="65"/>
  <c r="CL3" i="111"/>
  <c r="E5" i="103"/>
  <c r="E4" i="103"/>
  <c r="CF3" i="111"/>
  <c r="CA3" i="111"/>
  <c r="E12" i="103"/>
  <c r="E6" i="103"/>
  <c r="E7" i="103"/>
  <c r="E8" i="103"/>
  <c r="E9" i="103"/>
  <c r="E11" i="103"/>
  <c r="E10" i="103"/>
  <c r="E31" i="103"/>
  <c r="F7" i="116"/>
  <c r="E34" i="101"/>
  <c r="F9" i="116"/>
  <c r="F11" i="116"/>
  <c r="L24" i="114"/>
  <c r="H24" i="114"/>
  <c r="L22" i="114"/>
  <c r="L21" i="114"/>
  <c r="L16" i="114"/>
  <c r="K22" i="114"/>
  <c r="K21" i="114"/>
  <c r="K16" i="114"/>
  <c r="K24" i="114"/>
  <c r="E24" i="114"/>
  <c r="CQ4" i="111" l="1"/>
  <c r="CR4" i="111" s="1"/>
  <c r="AS3" i="111"/>
  <c r="AU3" i="111" s="1"/>
  <c r="AN3" i="111"/>
  <c r="AP3" i="111" s="1"/>
  <c r="BP3" i="111"/>
  <c r="BU3" i="111"/>
  <c r="CE3" i="111"/>
  <c r="AX3" i="111"/>
  <c r="AZ3" i="111" s="1"/>
  <c r="CQ5" i="111"/>
  <c r="CR5" i="111" s="1"/>
  <c r="J16" i="114"/>
  <c r="CX3" i="111"/>
  <c r="M24" i="114"/>
  <c r="CQ3" i="111"/>
  <c r="CR3" i="111" s="1"/>
  <c r="CY3" i="111" l="1"/>
  <c r="CX21" i="111"/>
  <c r="CR21" i="111"/>
  <c r="M16" i="114"/>
  <c r="BJ15" i="113"/>
  <c r="BJ14" i="113"/>
  <c r="BJ13" i="113"/>
  <c r="BG6" i="113"/>
  <c r="BG8" i="113" s="1"/>
  <c r="BJ8" i="113" s="1"/>
  <c r="H24" i="65"/>
  <c r="G36" i="101"/>
  <c r="F36" i="101"/>
  <c r="H36" i="101" s="1"/>
  <c r="J36" i="101" s="1"/>
  <c r="G35" i="101"/>
  <c r="F35" i="101"/>
  <c r="H35" i="101" s="1"/>
  <c r="J35" i="101" s="1"/>
  <c r="K35" i="101" s="1"/>
  <c r="C35" i="101"/>
  <c r="G33" i="101"/>
  <c r="H33" i="101"/>
  <c r="J33" i="101" s="1"/>
  <c r="K33" i="101" s="1"/>
  <c r="N11" i="65" l="1"/>
  <c r="BG7" i="113"/>
  <c r="BJ7" i="113" s="1"/>
  <c r="FP29" i="111"/>
  <c r="EJ29" i="111"/>
  <c r="FG29" i="111"/>
  <c r="AS11" i="65"/>
  <c r="B29" i="111"/>
  <c r="ED24" i="111"/>
  <c r="AA30" i="65"/>
  <c r="AA23" i="65"/>
  <c r="G71" i="65"/>
  <c r="G70" i="65"/>
  <c r="H65" i="65"/>
  <c r="J18" i="114" l="1"/>
  <c r="J19" i="114"/>
  <c r="BR7" i="113"/>
  <c r="BR9" i="113" l="1"/>
  <c r="BR12" i="113"/>
  <c r="BR21" i="113"/>
  <c r="BP16" i="113"/>
  <c r="E18" i="113"/>
  <c r="K17" i="113"/>
  <c r="B55" i="113"/>
  <c r="B56" i="113"/>
  <c r="B57" i="113"/>
  <c r="B58" i="113"/>
  <c r="B59" i="113"/>
  <c r="B60" i="113"/>
  <c r="B64" i="113"/>
  <c r="B65" i="113"/>
  <c r="B66" i="113"/>
  <c r="B67" i="113"/>
  <c r="B68" i="113"/>
  <c r="B69" i="113"/>
  <c r="B75" i="113"/>
  <c r="B76" i="113"/>
  <c r="B77" i="113"/>
  <c r="B78" i="113"/>
  <c r="B79" i="113"/>
  <c r="B80" i="113"/>
  <c r="B84" i="113"/>
  <c r="B85" i="113"/>
  <c r="B86" i="113"/>
  <c r="B87" i="113"/>
  <c r="B88" i="113"/>
  <c r="B89" i="113"/>
  <c r="B105" i="113"/>
  <c r="B106" i="113"/>
  <c r="B107" i="113"/>
  <c r="B108" i="113"/>
  <c r="B109" i="113"/>
  <c r="B110" i="113"/>
  <c r="B104" i="113"/>
  <c r="B95" i="113"/>
  <c r="B96" i="113"/>
  <c r="B97" i="113"/>
  <c r="B98" i="113"/>
  <c r="B99" i="113"/>
  <c r="B100" i="113"/>
  <c r="B94" i="113"/>
  <c r="B83" i="113"/>
  <c r="B74" i="113"/>
  <c r="B63" i="113"/>
  <c r="B54" i="113"/>
  <c r="B44" i="113"/>
  <c r="B45" i="113"/>
  <c r="B46" i="113"/>
  <c r="B47" i="113"/>
  <c r="B48" i="113"/>
  <c r="B49" i="113"/>
  <c r="B35" i="113"/>
  <c r="B36" i="113"/>
  <c r="B37" i="113"/>
  <c r="B38" i="113"/>
  <c r="B39" i="113"/>
  <c r="B40" i="113"/>
  <c r="B34" i="113"/>
  <c r="B43" i="113"/>
  <c r="B25" i="113"/>
  <c r="B26" i="113"/>
  <c r="B27" i="113"/>
  <c r="B28" i="113"/>
  <c r="B29" i="113"/>
  <c r="B30" i="113"/>
  <c r="B24" i="113"/>
  <c r="B16" i="113"/>
  <c r="B17" i="113"/>
  <c r="B18" i="113"/>
  <c r="B19" i="113"/>
  <c r="B20" i="113"/>
  <c r="B21" i="113"/>
  <c r="B15" i="113"/>
  <c r="I14" i="111"/>
  <c r="I16" i="111"/>
  <c r="EZ21" i="111"/>
  <c r="ES21" i="111"/>
  <c r="BD7" i="113"/>
  <c r="BD8" i="113"/>
  <c r="BD9" i="113"/>
  <c r="BD10" i="113"/>
  <c r="BD11" i="113"/>
  <c r="BD12" i="113"/>
  <c r="BD6" i="113"/>
  <c r="BG21" i="113"/>
  <c r="BJ20" i="113"/>
  <c r="BC19" i="113" s="1"/>
  <c r="BC38" i="113" s="1"/>
  <c r="BC78" i="113" s="1"/>
  <c r="BC49" i="113"/>
  <c r="BC89" i="113" s="1"/>
  <c r="BB49" i="113"/>
  <c r="BB89" i="113" s="1"/>
  <c r="BA49" i="113"/>
  <c r="BA89" i="113" s="1"/>
  <c r="AZ49" i="113"/>
  <c r="AY49" i="113"/>
  <c r="AY89" i="113" s="1"/>
  <c r="AX49" i="113"/>
  <c r="AX89" i="113" s="1"/>
  <c r="AW49" i="113"/>
  <c r="AV49" i="113"/>
  <c r="AU49" i="113"/>
  <c r="AU89" i="113" s="1"/>
  <c r="AT49" i="113"/>
  <c r="AT89" i="113" s="1"/>
  <c r="AS49" i="113"/>
  <c r="AS89" i="113" s="1"/>
  <c r="AR49" i="113"/>
  <c r="AQ49" i="113"/>
  <c r="AQ89" i="113" s="1"/>
  <c r="AP49" i="113"/>
  <c r="AP89" i="113" s="1"/>
  <c r="AO49" i="113"/>
  <c r="AN49" i="113"/>
  <c r="AM49" i="113"/>
  <c r="AM89" i="113" s="1"/>
  <c r="AL49" i="113"/>
  <c r="AL89" i="113" s="1"/>
  <c r="AK49" i="113"/>
  <c r="AK89" i="113" s="1"/>
  <c r="AJ49" i="113"/>
  <c r="AI49" i="113"/>
  <c r="AI89" i="113" s="1"/>
  <c r="AH49" i="113"/>
  <c r="AH89" i="113" s="1"/>
  <c r="AG49" i="113"/>
  <c r="AG69" i="113" s="1"/>
  <c r="AF49" i="113"/>
  <c r="AE49" i="113"/>
  <c r="AE89" i="113" s="1"/>
  <c r="AD49" i="113"/>
  <c r="AD89" i="113" s="1"/>
  <c r="AC49" i="113"/>
  <c r="AC89" i="113" s="1"/>
  <c r="AB49" i="113"/>
  <c r="AA49" i="113"/>
  <c r="AA89" i="113" s="1"/>
  <c r="Z49" i="113"/>
  <c r="Z89" i="113" s="1"/>
  <c r="Y49" i="113"/>
  <c r="X49" i="113"/>
  <c r="W49" i="113"/>
  <c r="W89" i="113" s="1"/>
  <c r="V49" i="113"/>
  <c r="V89" i="113" s="1"/>
  <c r="U49" i="113"/>
  <c r="U89" i="113" s="1"/>
  <c r="T49" i="113"/>
  <c r="S49" i="113"/>
  <c r="S89" i="113" s="1"/>
  <c r="R49" i="113"/>
  <c r="R89" i="113" s="1"/>
  <c r="Q49" i="113"/>
  <c r="Q89" i="113" s="1"/>
  <c r="P49" i="113"/>
  <c r="P89" i="113" s="1"/>
  <c r="O49" i="113"/>
  <c r="O89" i="113" s="1"/>
  <c r="N49" i="113"/>
  <c r="N69" i="113" s="1"/>
  <c r="M49" i="113"/>
  <c r="M89" i="113" s="1"/>
  <c r="L49" i="113"/>
  <c r="L89" i="113" s="1"/>
  <c r="K49" i="113"/>
  <c r="K89" i="113" s="1"/>
  <c r="J49" i="113"/>
  <c r="J89" i="113" s="1"/>
  <c r="I49" i="113"/>
  <c r="I69" i="113" s="1"/>
  <c r="H49" i="113"/>
  <c r="H89" i="113" s="1"/>
  <c r="G49" i="113"/>
  <c r="G89" i="113" s="1"/>
  <c r="F49" i="113"/>
  <c r="F89" i="113" s="1"/>
  <c r="E49" i="113"/>
  <c r="E89" i="113" s="1"/>
  <c r="D49" i="113"/>
  <c r="D89" i="113" s="1"/>
  <c r="C49" i="113"/>
  <c r="C89" i="113" s="1"/>
  <c r="BC47" i="113"/>
  <c r="BC87" i="113" s="1"/>
  <c r="BB47" i="113"/>
  <c r="BA47" i="113"/>
  <c r="BA87" i="113" s="1"/>
  <c r="AZ47" i="113"/>
  <c r="AZ87" i="113" s="1"/>
  <c r="AY47" i="113"/>
  <c r="AY67" i="113" s="1"/>
  <c r="AX47" i="113"/>
  <c r="AW47" i="113"/>
  <c r="AW87" i="113" s="1"/>
  <c r="AV47" i="113"/>
  <c r="AV87" i="113" s="1"/>
  <c r="AU47" i="113"/>
  <c r="AU87" i="113" s="1"/>
  <c r="AT47" i="113"/>
  <c r="AS47" i="113"/>
  <c r="AS87" i="113" s="1"/>
  <c r="AR47" i="113"/>
  <c r="AR87" i="113" s="1"/>
  <c r="AQ47" i="113"/>
  <c r="AQ67" i="113" s="1"/>
  <c r="AP47" i="113"/>
  <c r="AO47" i="113"/>
  <c r="AO87" i="113" s="1"/>
  <c r="AN47" i="113"/>
  <c r="AN87" i="113" s="1"/>
  <c r="AM47" i="113"/>
  <c r="AM87" i="113" s="1"/>
  <c r="AL47" i="113"/>
  <c r="AK47" i="113"/>
  <c r="AK87" i="113" s="1"/>
  <c r="AJ47" i="113"/>
  <c r="AJ87" i="113" s="1"/>
  <c r="AI47" i="113"/>
  <c r="AH47" i="113"/>
  <c r="AG47" i="113"/>
  <c r="AG87" i="113" s="1"/>
  <c r="AF47" i="113"/>
  <c r="AF87" i="113" s="1"/>
  <c r="AE47" i="113"/>
  <c r="AE87" i="113" s="1"/>
  <c r="AD47" i="113"/>
  <c r="AC47" i="113"/>
  <c r="AC87" i="113" s="1"/>
  <c r="AB47" i="113"/>
  <c r="AB87" i="113" s="1"/>
  <c r="AA47" i="113"/>
  <c r="Z47" i="113"/>
  <c r="Y47" i="113"/>
  <c r="Y87" i="113" s="1"/>
  <c r="X47" i="113"/>
  <c r="X87" i="113" s="1"/>
  <c r="W47" i="113"/>
  <c r="W87" i="113" s="1"/>
  <c r="V47" i="113"/>
  <c r="U47" i="113"/>
  <c r="U87" i="113" s="1"/>
  <c r="T47" i="113"/>
  <c r="T87" i="113" s="1"/>
  <c r="S47" i="113"/>
  <c r="R47" i="113"/>
  <c r="Q47" i="113"/>
  <c r="Q87" i="113" s="1"/>
  <c r="P47" i="113"/>
  <c r="P87" i="113" s="1"/>
  <c r="O47" i="113"/>
  <c r="O87" i="113" s="1"/>
  <c r="N47" i="113"/>
  <c r="N87" i="113" s="1"/>
  <c r="M47" i="113"/>
  <c r="M87" i="113" s="1"/>
  <c r="L47" i="113"/>
  <c r="L87" i="113" s="1"/>
  <c r="K47" i="113"/>
  <c r="K67" i="113" s="1"/>
  <c r="J47" i="113"/>
  <c r="J87" i="113" s="1"/>
  <c r="I47" i="113"/>
  <c r="I87" i="113" s="1"/>
  <c r="H47" i="113"/>
  <c r="H87" i="113" s="1"/>
  <c r="G47" i="113"/>
  <c r="G87" i="113" s="1"/>
  <c r="F47" i="113"/>
  <c r="F87" i="113" s="1"/>
  <c r="E47" i="113"/>
  <c r="E87" i="113" s="1"/>
  <c r="D47" i="113"/>
  <c r="D67" i="113" s="1"/>
  <c r="C47" i="113"/>
  <c r="BC46" i="113"/>
  <c r="BB46" i="113"/>
  <c r="BB86" i="113" s="1"/>
  <c r="BA46" i="113"/>
  <c r="BA86" i="113" s="1"/>
  <c r="AZ46" i="113"/>
  <c r="AZ86" i="113" s="1"/>
  <c r="AY46" i="113"/>
  <c r="AX46" i="113"/>
  <c r="AX86" i="113" s="1"/>
  <c r="AW46" i="113"/>
  <c r="AW86" i="113" s="1"/>
  <c r="AV46" i="113"/>
  <c r="AU46" i="113"/>
  <c r="AT46" i="113"/>
  <c r="AT86" i="113" s="1"/>
  <c r="AS46" i="113"/>
  <c r="AS86" i="113" s="1"/>
  <c r="AR46" i="113"/>
  <c r="AR86" i="113" s="1"/>
  <c r="AQ46" i="113"/>
  <c r="AP46" i="113"/>
  <c r="AP86" i="113" s="1"/>
  <c r="AO46" i="113"/>
  <c r="AO86" i="113" s="1"/>
  <c r="AN46" i="113"/>
  <c r="AN66" i="113" s="1"/>
  <c r="AM46" i="113"/>
  <c r="AL46" i="113"/>
  <c r="AL86" i="113" s="1"/>
  <c r="AK46" i="113"/>
  <c r="AK86" i="113" s="1"/>
  <c r="AJ46" i="113"/>
  <c r="AJ86" i="113" s="1"/>
  <c r="AI46" i="113"/>
  <c r="AH46" i="113"/>
  <c r="AH86" i="113" s="1"/>
  <c r="AG46" i="113"/>
  <c r="AG86" i="113" s="1"/>
  <c r="AF46" i="113"/>
  <c r="AF66" i="113" s="1"/>
  <c r="AE46" i="113"/>
  <c r="AD46" i="113"/>
  <c r="AD86" i="113" s="1"/>
  <c r="AC46" i="113"/>
  <c r="AC86" i="113" s="1"/>
  <c r="AB46" i="113"/>
  <c r="AB86" i="113" s="1"/>
  <c r="AA46" i="113"/>
  <c r="Z46" i="113"/>
  <c r="Z86" i="113" s="1"/>
  <c r="Y46" i="113"/>
  <c r="Y86" i="113" s="1"/>
  <c r="X46" i="113"/>
  <c r="W46" i="113"/>
  <c r="V46" i="113"/>
  <c r="V86" i="113" s="1"/>
  <c r="U46" i="113"/>
  <c r="U86" i="113" s="1"/>
  <c r="T46" i="113"/>
  <c r="T86" i="113" s="1"/>
  <c r="S46" i="113"/>
  <c r="R46" i="113"/>
  <c r="R86" i="113" s="1"/>
  <c r="Q46" i="113"/>
  <c r="Q86" i="113" s="1"/>
  <c r="P46" i="113"/>
  <c r="P86" i="113" s="1"/>
  <c r="O46" i="113"/>
  <c r="O86" i="113" s="1"/>
  <c r="N46" i="113"/>
  <c r="N86" i="113" s="1"/>
  <c r="M46" i="113"/>
  <c r="M86" i="113" s="1"/>
  <c r="L46" i="113"/>
  <c r="L86" i="113" s="1"/>
  <c r="K46" i="113"/>
  <c r="K86" i="113" s="1"/>
  <c r="J46" i="113"/>
  <c r="J86" i="113" s="1"/>
  <c r="I46" i="113"/>
  <c r="I86" i="113" s="1"/>
  <c r="H46" i="113"/>
  <c r="H86" i="113" s="1"/>
  <c r="G46" i="113"/>
  <c r="G86" i="113" s="1"/>
  <c r="F46" i="113"/>
  <c r="F86" i="113" s="1"/>
  <c r="E46" i="113"/>
  <c r="E86" i="113" s="1"/>
  <c r="D46" i="113"/>
  <c r="D86" i="113" s="1"/>
  <c r="C46" i="113"/>
  <c r="BG31" i="113"/>
  <c r="BG30" i="113"/>
  <c r="BG29" i="113"/>
  <c r="BG28" i="113"/>
  <c r="BJ24" i="113"/>
  <c r="BB21" i="113" s="1"/>
  <c r="BB40" i="113" s="1"/>
  <c r="BB80" i="113" s="1"/>
  <c r="BJ23" i="113"/>
  <c r="AV20" i="113" s="1"/>
  <c r="AV39" i="113" s="1"/>
  <c r="B30" i="111"/>
  <c r="B28" i="111"/>
  <c r="B26" i="111"/>
  <c r="FJ21" i="111"/>
  <c r="FB21" i="111"/>
  <c r="EW21" i="111"/>
  <c r="ER21" i="111"/>
  <c r="DB21" i="111"/>
  <c r="I20" i="111"/>
  <c r="I19" i="111"/>
  <c r="I18" i="111"/>
  <c r="I17" i="111"/>
  <c r="I15" i="111"/>
  <c r="I13" i="111"/>
  <c r="I12" i="111"/>
  <c r="I11" i="111"/>
  <c r="BG12" i="113"/>
  <c r="K9" i="111" l="1"/>
  <c r="J9" i="111" s="1"/>
  <c r="K8" i="111"/>
  <c r="J8" i="111" s="1"/>
  <c r="K5" i="111"/>
  <c r="J5" i="111" s="1"/>
  <c r="K4" i="111"/>
  <c r="J4" i="111" s="1"/>
  <c r="K6" i="111"/>
  <c r="J6" i="111" s="1"/>
  <c r="K7" i="111"/>
  <c r="J7" i="111" s="1"/>
  <c r="K10" i="111"/>
  <c r="BU5" i="111"/>
  <c r="BW5" i="111" s="1"/>
  <c r="CE5" i="111"/>
  <c r="CG5" i="111" s="1"/>
  <c r="BP5" i="111"/>
  <c r="BR5" i="111" s="1"/>
  <c r="BZ5" i="111"/>
  <c r="CB5" i="111" s="1"/>
  <c r="W5" i="111"/>
  <c r="AN5" i="111"/>
  <c r="AP5" i="111" s="1"/>
  <c r="M5" i="111"/>
  <c r="L5" i="111" s="1"/>
  <c r="BG22" i="113"/>
  <c r="BJ22" i="113" s="1"/>
  <c r="K11" i="111"/>
  <c r="G17" i="113"/>
  <c r="D87" i="113"/>
  <c r="K17" i="111"/>
  <c r="K18" i="111"/>
  <c r="K19" i="111"/>
  <c r="J17" i="113"/>
  <c r="I18" i="113"/>
  <c r="O17" i="113"/>
  <c r="AW66" i="113"/>
  <c r="N89" i="113"/>
  <c r="R69" i="113"/>
  <c r="I89" i="113"/>
  <c r="Q21" i="113"/>
  <c r="Q40" i="113" s="1"/>
  <c r="D18" i="113"/>
  <c r="BR13" i="113"/>
  <c r="K18" i="113"/>
  <c r="Q17" i="113"/>
  <c r="I17" i="113"/>
  <c r="BR14" i="113"/>
  <c r="L18" i="113"/>
  <c r="BR24" i="113"/>
  <c r="C21" i="113"/>
  <c r="C40" i="113" s="1"/>
  <c r="C80" i="113" s="1"/>
  <c r="J18" i="113"/>
  <c r="P17" i="113"/>
  <c r="H17" i="113"/>
  <c r="AN86" i="113"/>
  <c r="K21" i="113"/>
  <c r="K40" i="113" s="1"/>
  <c r="K80" i="113" s="1"/>
  <c r="P18" i="113"/>
  <c r="H18" i="113"/>
  <c r="N17" i="113"/>
  <c r="F17" i="113"/>
  <c r="K87" i="113"/>
  <c r="K20" i="111"/>
  <c r="BR20" i="113"/>
  <c r="J21" i="113"/>
  <c r="J40" i="113" s="1"/>
  <c r="J80" i="113" s="1"/>
  <c r="O18" i="113"/>
  <c r="G18" i="113"/>
  <c r="M17" i="113"/>
  <c r="E17" i="113"/>
  <c r="BR23" i="113"/>
  <c r="C17" i="113"/>
  <c r="I21" i="113"/>
  <c r="I40" i="113" s="1"/>
  <c r="N18" i="113"/>
  <c r="F18" i="113"/>
  <c r="L17" i="113"/>
  <c r="D17" i="113"/>
  <c r="Q18" i="113"/>
  <c r="C18" i="113"/>
  <c r="M18" i="113"/>
  <c r="K16" i="111"/>
  <c r="H15" i="111"/>
  <c r="K15" i="111"/>
  <c r="K14" i="111"/>
  <c r="H12" i="111"/>
  <c r="K12" i="111"/>
  <c r="H13" i="111"/>
  <c r="K13" i="111"/>
  <c r="I3" i="111"/>
  <c r="ET21" i="111"/>
  <c r="EV21" i="111" s="1"/>
  <c r="BG19" i="113"/>
  <c r="BJ19" i="113" s="1"/>
  <c r="P21" i="113"/>
  <c r="P40" i="113" s="1"/>
  <c r="P80" i="113" s="1"/>
  <c r="H21" i="113"/>
  <c r="H40" i="113" s="1"/>
  <c r="O21" i="113"/>
  <c r="O40" i="113" s="1"/>
  <c r="O80" i="113" s="1"/>
  <c r="G21" i="113"/>
  <c r="G40" i="113" s="1"/>
  <c r="G80" i="113" s="1"/>
  <c r="N21" i="113"/>
  <c r="N40" i="113" s="1"/>
  <c r="N80" i="113" s="1"/>
  <c r="F21" i="113"/>
  <c r="F40" i="113" s="1"/>
  <c r="F80" i="113" s="1"/>
  <c r="M21" i="113"/>
  <c r="M40" i="113" s="1"/>
  <c r="M80" i="113" s="1"/>
  <c r="E21" i="113"/>
  <c r="E40" i="113" s="1"/>
  <c r="E80" i="113" s="1"/>
  <c r="L21" i="113"/>
  <c r="L40" i="113" s="1"/>
  <c r="L80" i="113" s="1"/>
  <c r="D21" i="113"/>
  <c r="D40" i="113" s="1"/>
  <c r="D80" i="113" s="1"/>
  <c r="U67" i="113"/>
  <c r="Z69" i="113"/>
  <c r="J66" i="113"/>
  <c r="AB67" i="113"/>
  <c r="AH69" i="113"/>
  <c r="Q66" i="113"/>
  <c r="AJ67" i="113"/>
  <c r="AL69" i="113"/>
  <c r="Y66" i="113"/>
  <c r="AR67" i="113"/>
  <c r="AT69" i="113"/>
  <c r="AG66" i="113"/>
  <c r="AS67" i="113"/>
  <c r="AX69" i="113"/>
  <c r="AH66" i="113"/>
  <c r="F69" i="113"/>
  <c r="BB69" i="113"/>
  <c r="S20" i="113"/>
  <c r="S39" i="113" s="1"/>
  <c r="S79" i="113" s="1"/>
  <c r="AP20" i="113"/>
  <c r="AP39" i="113" s="1"/>
  <c r="AP79" i="113" s="1"/>
  <c r="R66" i="113"/>
  <c r="AO66" i="113"/>
  <c r="H67" i="113"/>
  <c r="AC67" i="113"/>
  <c r="AZ67" i="113"/>
  <c r="S69" i="113"/>
  <c r="AP69" i="113"/>
  <c r="AQ87" i="113"/>
  <c r="BA66" i="113"/>
  <c r="K69" i="113"/>
  <c r="AI20" i="113"/>
  <c r="AI39" i="113" s="1"/>
  <c r="AI79" i="113" s="1"/>
  <c r="M66" i="113"/>
  <c r="X67" i="113"/>
  <c r="AI69" i="113"/>
  <c r="R20" i="113"/>
  <c r="R39" i="113" s="1"/>
  <c r="R79" i="113" s="1"/>
  <c r="AO20" i="113"/>
  <c r="AO39" i="113" s="1"/>
  <c r="AO59" i="113" s="1"/>
  <c r="AK66" i="113"/>
  <c r="E67" i="113"/>
  <c r="AV67" i="113"/>
  <c r="Y20" i="113"/>
  <c r="Y39" i="113" s="1"/>
  <c r="Y59" i="113" s="1"/>
  <c r="AQ20" i="113"/>
  <c r="AQ39" i="113" s="1"/>
  <c r="AQ79" i="113" s="1"/>
  <c r="U66" i="113"/>
  <c r="AP66" i="113"/>
  <c r="L67" i="113"/>
  <c r="AF67" i="113"/>
  <c r="BA67" i="113"/>
  <c r="V69" i="113"/>
  <c r="AQ69" i="113"/>
  <c r="AH20" i="113"/>
  <c r="AH39" i="113" s="1"/>
  <c r="AH59" i="113" s="1"/>
  <c r="Z20" i="113"/>
  <c r="Z39" i="113" s="1"/>
  <c r="Z79" i="113" s="1"/>
  <c r="AW20" i="113"/>
  <c r="AW39" i="113" s="1"/>
  <c r="AW59" i="113" s="1"/>
  <c r="AS66" i="113"/>
  <c r="M67" i="113"/>
  <c r="C69" i="113"/>
  <c r="AA20" i="113"/>
  <c r="AA39" i="113" s="1"/>
  <c r="AA79" i="113" s="1"/>
  <c r="AX20" i="113"/>
  <c r="AX39" i="113" s="1"/>
  <c r="AX79" i="113" s="1"/>
  <c r="E66" i="113"/>
  <c r="Z66" i="113"/>
  <c r="P67" i="113"/>
  <c r="AK67" i="113"/>
  <c r="AA69" i="113"/>
  <c r="AG20" i="113"/>
  <c r="AG39" i="113" s="1"/>
  <c r="AG59" i="113" s="1"/>
  <c r="AY20" i="113"/>
  <c r="AY39" i="113" s="1"/>
  <c r="AY79" i="113" s="1"/>
  <c r="I66" i="113"/>
  <c r="AC66" i="113"/>
  <c r="AX66" i="113"/>
  <c r="T67" i="113"/>
  <c r="AN67" i="113"/>
  <c r="J69" i="113"/>
  <c r="AD69" i="113"/>
  <c r="AY69" i="113"/>
  <c r="H16" i="111"/>
  <c r="BJ10" i="113"/>
  <c r="AG21" i="113"/>
  <c r="AG40" i="113" s="1"/>
  <c r="AM21" i="113"/>
  <c r="AM40" i="113" s="1"/>
  <c r="AM80" i="113" s="1"/>
  <c r="BN24" i="113"/>
  <c r="BO24" i="113" s="1"/>
  <c r="W21" i="113"/>
  <c r="W40" i="113" s="1"/>
  <c r="W60" i="113" s="1"/>
  <c r="AO21" i="113"/>
  <c r="AO40" i="113" s="1"/>
  <c r="AO80" i="113" s="1"/>
  <c r="AN21" i="113"/>
  <c r="AN40" i="113" s="1"/>
  <c r="AN80" i="113" s="1"/>
  <c r="X21" i="113"/>
  <c r="X40" i="113" s="1"/>
  <c r="X80" i="113" s="1"/>
  <c r="AU21" i="113"/>
  <c r="AU40" i="113" s="1"/>
  <c r="AU80" i="113" s="1"/>
  <c r="Y21" i="113"/>
  <c r="Y40" i="113" s="1"/>
  <c r="Y80" i="113" s="1"/>
  <c r="AV21" i="113"/>
  <c r="AV40" i="113" s="1"/>
  <c r="AV80" i="113" s="1"/>
  <c r="AE21" i="113"/>
  <c r="AE40" i="113" s="1"/>
  <c r="AE80" i="113" s="1"/>
  <c r="AW21" i="113"/>
  <c r="AW40" i="113" s="1"/>
  <c r="AW80" i="113" s="1"/>
  <c r="AF21" i="113"/>
  <c r="AF40" i="113" s="1"/>
  <c r="AF60" i="113" s="1"/>
  <c r="BC21" i="113"/>
  <c r="BC40" i="113" s="1"/>
  <c r="BC80" i="113" s="1"/>
  <c r="BB60" i="113"/>
  <c r="AN19" i="113"/>
  <c r="AN38" i="113" s="1"/>
  <c r="AN78" i="113" s="1"/>
  <c r="Z19" i="113"/>
  <c r="Z38" i="113" s="1"/>
  <c r="Z78" i="113" s="1"/>
  <c r="AP19" i="113"/>
  <c r="AP38" i="113" s="1"/>
  <c r="AP58" i="113" s="1"/>
  <c r="AA19" i="113"/>
  <c r="AA38" i="113" s="1"/>
  <c r="AA58" i="113" s="1"/>
  <c r="AQ19" i="113"/>
  <c r="AQ38" i="113" s="1"/>
  <c r="AQ78" i="113" s="1"/>
  <c r="AF19" i="113"/>
  <c r="AF38" i="113" s="1"/>
  <c r="AV19" i="113"/>
  <c r="AV38" i="113" s="1"/>
  <c r="AV78" i="113" s="1"/>
  <c r="AO19" i="113"/>
  <c r="AO38" i="113" s="1"/>
  <c r="AO78" i="113" s="1"/>
  <c r="AG19" i="113"/>
  <c r="AG38" i="113" s="1"/>
  <c r="AG78" i="113" s="1"/>
  <c r="AW19" i="113"/>
  <c r="AW38" i="113" s="1"/>
  <c r="AW78" i="113" s="1"/>
  <c r="Y19" i="113"/>
  <c r="Y38" i="113" s="1"/>
  <c r="Y78" i="113" s="1"/>
  <c r="R19" i="113"/>
  <c r="R38" i="113" s="1"/>
  <c r="R58" i="113" s="1"/>
  <c r="AH19" i="113"/>
  <c r="AH38" i="113" s="1"/>
  <c r="AH78" i="113" s="1"/>
  <c r="AX19" i="113"/>
  <c r="AX38" i="113" s="1"/>
  <c r="AX78" i="113" s="1"/>
  <c r="X19" i="113"/>
  <c r="X38" i="113" s="1"/>
  <c r="X78" i="113" s="1"/>
  <c r="BN20" i="113"/>
  <c r="BO20" i="113" s="1"/>
  <c r="S19" i="113"/>
  <c r="S38" i="113" s="1"/>
  <c r="S58" i="113" s="1"/>
  <c r="AI19" i="113"/>
  <c r="AI38" i="113" s="1"/>
  <c r="AI78" i="113" s="1"/>
  <c r="AY19" i="113"/>
  <c r="AY38" i="113" s="1"/>
  <c r="AY58" i="113" s="1"/>
  <c r="BJ11" i="113"/>
  <c r="BC58" i="113"/>
  <c r="L69" i="113"/>
  <c r="AJ89" i="113"/>
  <c r="AJ69" i="113"/>
  <c r="AZ89" i="113"/>
  <c r="AZ69" i="113"/>
  <c r="C86" i="113"/>
  <c r="C66" i="113"/>
  <c r="K66" i="113"/>
  <c r="S86" i="113"/>
  <c r="S66" i="113"/>
  <c r="AA86" i="113"/>
  <c r="AA66" i="113"/>
  <c r="AI86" i="113"/>
  <c r="AI66" i="113"/>
  <c r="AQ86" i="113"/>
  <c r="AQ66" i="113"/>
  <c r="AY86" i="113"/>
  <c r="AY66" i="113"/>
  <c r="F67" i="113"/>
  <c r="N67" i="113"/>
  <c r="V87" i="113"/>
  <c r="V67" i="113"/>
  <c r="AD87" i="113"/>
  <c r="AD67" i="113"/>
  <c r="BB87" i="113"/>
  <c r="BB67" i="113"/>
  <c r="AV79" i="113"/>
  <c r="AV59" i="113"/>
  <c r="AB89" i="113"/>
  <c r="AB69" i="113"/>
  <c r="T89" i="113"/>
  <c r="T69" i="113"/>
  <c r="AR89" i="113"/>
  <c r="AR69" i="113"/>
  <c r="D69" i="113"/>
  <c r="T19" i="113"/>
  <c r="T38" i="113" s="1"/>
  <c r="AB19" i="113"/>
  <c r="AB38" i="113" s="1"/>
  <c r="AJ19" i="113"/>
  <c r="AJ38" i="113" s="1"/>
  <c r="AR19" i="113"/>
  <c r="AR38" i="113" s="1"/>
  <c r="AZ19" i="113"/>
  <c r="AZ38" i="113" s="1"/>
  <c r="T20" i="113"/>
  <c r="T39" i="113" s="1"/>
  <c r="AB20" i="113"/>
  <c r="AB39" i="113" s="1"/>
  <c r="AJ20" i="113"/>
  <c r="AJ39" i="113" s="1"/>
  <c r="AR20" i="113"/>
  <c r="AR39" i="113" s="1"/>
  <c r="AZ20" i="113"/>
  <c r="AZ39" i="113" s="1"/>
  <c r="R21" i="113"/>
  <c r="R40" i="113" s="1"/>
  <c r="Z21" i="113"/>
  <c r="Z40" i="113" s="1"/>
  <c r="AH21" i="113"/>
  <c r="AH40" i="113" s="1"/>
  <c r="AP21" i="113"/>
  <c r="AP40" i="113" s="1"/>
  <c r="AX21" i="113"/>
  <c r="AX40" i="113" s="1"/>
  <c r="AY87" i="113"/>
  <c r="U19" i="113"/>
  <c r="U38" i="113" s="1"/>
  <c r="AC19" i="113"/>
  <c r="AC38" i="113" s="1"/>
  <c r="AK19" i="113"/>
  <c r="AK38" i="113" s="1"/>
  <c r="AS19" i="113"/>
  <c r="AS38" i="113" s="1"/>
  <c r="BA19" i="113"/>
  <c r="BA38" i="113" s="1"/>
  <c r="U20" i="113"/>
  <c r="U39" i="113" s="1"/>
  <c r="AC20" i="113"/>
  <c r="AC39" i="113" s="1"/>
  <c r="AK20" i="113"/>
  <c r="AK39" i="113" s="1"/>
  <c r="AS20" i="113"/>
  <c r="AS39" i="113" s="1"/>
  <c r="BA20" i="113"/>
  <c r="BA39" i="113" s="1"/>
  <c r="S21" i="113"/>
  <c r="S40" i="113" s="1"/>
  <c r="AA21" i="113"/>
  <c r="AA40" i="113" s="1"/>
  <c r="AI21" i="113"/>
  <c r="AI40" i="113" s="1"/>
  <c r="AQ21" i="113"/>
  <c r="AQ40" i="113" s="1"/>
  <c r="AY21" i="113"/>
  <c r="AY40" i="113" s="1"/>
  <c r="V19" i="113"/>
  <c r="V38" i="113" s="1"/>
  <c r="AD19" i="113"/>
  <c r="AD38" i="113" s="1"/>
  <c r="AL19" i="113"/>
  <c r="AL38" i="113" s="1"/>
  <c r="AT19" i="113"/>
  <c r="AT38" i="113" s="1"/>
  <c r="BB19" i="113"/>
  <c r="BB38" i="113" s="1"/>
  <c r="V20" i="113"/>
  <c r="V39" i="113" s="1"/>
  <c r="AD20" i="113"/>
  <c r="AD39" i="113" s="1"/>
  <c r="AL20" i="113"/>
  <c r="AL39" i="113" s="1"/>
  <c r="AT20" i="113"/>
  <c r="AT39" i="113" s="1"/>
  <c r="BB20" i="113"/>
  <c r="BB39" i="113" s="1"/>
  <c r="T21" i="113"/>
  <c r="T40" i="113" s="1"/>
  <c r="AB21" i="113"/>
  <c r="AB40" i="113" s="1"/>
  <c r="AJ21" i="113"/>
  <c r="AJ40" i="113" s="1"/>
  <c r="AR21" i="113"/>
  <c r="AR40" i="113" s="1"/>
  <c r="AZ21" i="113"/>
  <c r="AZ40" i="113" s="1"/>
  <c r="H69" i="113"/>
  <c r="P69" i="113"/>
  <c r="X89" i="113"/>
  <c r="X69" i="113"/>
  <c r="AF89" i="113"/>
  <c r="AF69" i="113"/>
  <c r="AN89" i="113"/>
  <c r="AN69" i="113"/>
  <c r="AV89" i="113"/>
  <c r="AV69" i="113"/>
  <c r="AL87" i="113"/>
  <c r="AL67" i="113"/>
  <c r="AT87" i="113"/>
  <c r="AT67" i="113"/>
  <c r="W19" i="113"/>
  <c r="W38" i="113" s="1"/>
  <c r="AE19" i="113"/>
  <c r="AE38" i="113" s="1"/>
  <c r="AM19" i="113"/>
  <c r="AM38" i="113" s="1"/>
  <c r="AU19" i="113"/>
  <c r="AU38" i="113" s="1"/>
  <c r="W20" i="113"/>
  <c r="W39" i="113" s="1"/>
  <c r="AE20" i="113"/>
  <c r="AE39" i="113" s="1"/>
  <c r="AM20" i="113"/>
  <c r="AM39" i="113" s="1"/>
  <c r="AU20" i="113"/>
  <c r="AU39" i="113" s="1"/>
  <c r="BC20" i="113"/>
  <c r="BC39" i="113" s="1"/>
  <c r="U21" i="113"/>
  <c r="U40" i="113" s="1"/>
  <c r="AC21" i="113"/>
  <c r="AC40" i="113" s="1"/>
  <c r="AK21" i="113"/>
  <c r="AK40" i="113" s="1"/>
  <c r="AS21" i="113"/>
  <c r="AS40" i="113" s="1"/>
  <c r="BA21" i="113"/>
  <c r="BA40" i="113" s="1"/>
  <c r="G66" i="113"/>
  <c r="O66" i="113"/>
  <c r="W86" i="113"/>
  <c r="W66" i="113"/>
  <c r="AE86" i="113"/>
  <c r="AE66" i="113"/>
  <c r="AM86" i="113"/>
  <c r="AM66" i="113"/>
  <c r="AU86" i="113"/>
  <c r="AU66" i="113"/>
  <c r="BC86" i="113"/>
  <c r="BC66" i="113"/>
  <c r="J67" i="113"/>
  <c r="R87" i="113"/>
  <c r="R67" i="113"/>
  <c r="Z87" i="113"/>
  <c r="Z67" i="113"/>
  <c r="AH87" i="113"/>
  <c r="AH67" i="113"/>
  <c r="AP87" i="113"/>
  <c r="AP67" i="113"/>
  <c r="AX87" i="113"/>
  <c r="AX67" i="113"/>
  <c r="Q69" i="113"/>
  <c r="Y69" i="113"/>
  <c r="Y89" i="113"/>
  <c r="AO69" i="113"/>
  <c r="AO89" i="113"/>
  <c r="AW69" i="113"/>
  <c r="AW89" i="113"/>
  <c r="X20" i="113"/>
  <c r="X39" i="113" s="1"/>
  <c r="AF20" i="113"/>
  <c r="AF39" i="113" s="1"/>
  <c r="AN20" i="113"/>
  <c r="AN39" i="113" s="1"/>
  <c r="V21" i="113"/>
  <c r="V40" i="113" s="1"/>
  <c r="AD21" i="113"/>
  <c r="AD40" i="113" s="1"/>
  <c r="AL21" i="113"/>
  <c r="AL40" i="113" s="1"/>
  <c r="AT21" i="113"/>
  <c r="AT40" i="113" s="1"/>
  <c r="H66" i="113"/>
  <c r="P66" i="113"/>
  <c r="X86" i="113"/>
  <c r="X66" i="113"/>
  <c r="AV66" i="113"/>
  <c r="AV86" i="113"/>
  <c r="C67" i="113"/>
  <c r="C87" i="113"/>
  <c r="S67" i="113"/>
  <c r="S87" i="113"/>
  <c r="AA67" i="113"/>
  <c r="AA87" i="113"/>
  <c r="AI87" i="113"/>
  <c r="AI67" i="113"/>
  <c r="AF86" i="113"/>
  <c r="AG89" i="113"/>
  <c r="D66" i="113"/>
  <c r="L66" i="113"/>
  <c r="T66" i="113"/>
  <c r="AB66" i="113"/>
  <c r="AJ66" i="113"/>
  <c r="AR66" i="113"/>
  <c r="AZ66" i="113"/>
  <c r="G67" i="113"/>
  <c r="O67" i="113"/>
  <c r="W67" i="113"/>
  <c r="AE67" i="113"/>
  <c r="AM67" i="113"/>
  <c r="AU67" i="113"/>
  <c r="BC67" i="113"/>
  <c r="E69" i="113"/>
  <c r="M69" i="113"/>
  <c r="U69" i="113"/>
  <c r="AC69" i="113"/>
  <c r="AK69" i="113"/>
  <c r="AS69" i="113"/>
  <c r="BA69" i="113"/>
  <c r="F66" i="113"/>
  <c r="N66" i="113"/>
  <c r="V66" i="113"/>
  <c r="AD66" i="113"/>
  <c r="AL66" i="113"/>
  <c r="AT66" i="113"/>
  <c r="BB66" i="113"/>
  <c r="I67" i="113"/>
  <c r="Q67" i="113"/>
  <c r="Y67" i="113"/>
  <c r="AG67" i="113"/>
  <c r="AO67" i="113"/>
  <c r="AW67" i="113"/>
  <c r="G69" i="113"/>
  <c r="O69" i="113"/>
  <c r="W69" i="113"/>
  <c r="AE69" i="113"/>
  <c r="AM69" i="113"/>
  <c r="AU69" i="113"/>
  <c r="BC69" i="113"/>
  <c r="H11" i="111"/>
  <c r="H17" i="111"/>
  <c r="H18" i="111"/>
  <c r="H19" i="111"/>
  <c r="H20" i="111"/>
  <c r="H14" i="111"/>
  <c r="M4" i="111" l="1"/>
  <c r="L4" i="111" s="1"/>
  <c r="H3" i="111"/>
  <c r="H21" i="111" s="1"/>
  <c r="I21" i="111"/>
  <c r="I26" i="111" s="1"/>
  <c r="M8" i="111"/>
  <c r="L8" i="111" s="1"/>
  <c r="M7" i="111"/>
  <c r="L7" i="111" s="1"/>
  <c r="M9" i="111"/>
  <c r="L9" i="111" s="1"/>
  <c r="J10" i="111"/>
  <c r="M10" i="111"/>
  <c r="L10" i="111" s="1"/>
  <c r="M6" i="111"/>
  <c r="L6" i="111" s="1"/>
  <c r="K3" i="111"/>
  <c r="BR22" i="113"/>
  <c r="K29" i="113"/>
  <c r="K48" i="113" s="1"/>
  <c r="K88" i="113" s="1"/>
  <c r="BC29" i="113"/>
  <c r="BC48" i="113" s="1"/>
  <c r="BC88" i="113" s="1"/>
  <c r="H29" i="113"/>
  <c r="H48" i="113" s="1"/>
  <c r="H88" i="113" s="1"/>
  <c r="Z29" i="113"/>
  <c r="Z48" i="113" s="1"/>
  <c r="Z68" i="113" s="1"/>
  <c r="AJ29" i="113"/>
  <c r="AJ48" i="113" s="1"/>
  <c r="AJ88" i="113" s="1"/>
  <c r="P29" i="113"/>
  <c r="P48" i="113" s="1"/>
  <c r="P88" i="113" s="1"/>
  <c r="AH29" i="113"/>
  <c r="AH48" i="113" s="1"/>
  <c r="AH68" i="113" s="1"/>
  <c r="M29" i="113"/>
  <c r="M48" i="113" s="1"/>
  <c r="M88" i="113" s="1"/>
  <c r="X29" i="113"/>
  <c r="X48" i="113" s="1"/>
  <c r="X88" i="113" s="1"/>
  <c r="AP29" i="113"/>
  <c r="AP48" i="113" s="1"/>
  <c r="AP88" i="113" s="1"/>
  <c r="BA29" i="113"/>
  <c r="BA48" i="113" s="1"/>
  <c r="BA88" i="113" s="1"/>
  <c r="F29" i="113"/>
  <c r="F48" i="113" s="1"/>
  <c r="F88" i="113" s="1"/>
  <c r="AF29" i="113"/>
  <c r="AF48" i="113" s="1"/>
  <c r="AF88" i="113" s="1"/>
  <c r="I29" i="113"/>
  <c r="I48" i="113" s="1"/>
  <c r="I88" i="113" s="1"/>
  <c r="AC29" i="113"/>
  <c r="AC48" i="113" s="1"/>
  <c r="AC88" i="113" s="1"/>
  <c r="N29" i="113"/>
  <c r="N48" i="113" s="1"/>
  <c r="N88" i="113" s="1"/>
  <c r="AN29" i="113"/>
  <c r="AN48" i="113" s="1"/>
  <c r="AN68" i="113" s="1"/>
  <c r="BN22" i="113"/>
  <c r="BO22" i="113" s="1"/>
  <c r="Q29" i="113"/>
  <c r="Q48" i="113" s="1"/>
  <c r="Q88" i="113" s="1"/>
  <c r="C29" i="113"/>
  <c r="C48" i="113" s="1"/>
  <c r="C68" i="113" s="1"/>
  <c r="V29" i="113"/>
  <c r="V48" i="113" s="1"/>
  <c r="V68" i="113" s="1"/>
  <c r="AV29" i="113"/>
  <c r="AV48" i="113" s="1"/>
  <c r="AV88" i="113" s="1"/>
  <c r="Y29" i="113"/>
  <c r="Y48" i="113" s="1"/>
  <c r="Y68" i="113" s="1"/>
  <c r="AU29" i="113"/>
  <c r="AU48" i="113" s="1"/>
  <c r="AU88" i="113" s="1"/>
  <c r="AX29" i="113"/>
  <c r="AX48" i="113" s="1"/>
  <c r="AX88" i="113" s="1"/>
  <c r="AY29" i="113"/>
  <c r="AY48" i="113" s="1"/>
  <c r="AY88" i="113" s="1"/>
  <c r="AD29" i="113"/>
  <c r="AD48" i="113" s="1"/>
  <c r="AD88" i="113" s="1"/>
  <c r="AG29" i="113"/>
  <c r="AG48" i="113" s="1"/>
  <c r="AG68" i="113" s="1"/>
  <c r="L29" i="113"/>
  <c r="L48" i="113" s="1"/>
  <c r="L88" i="113" s="1"/>
  <c r="AR29" i="113"/>
  <c r="AR48" i="113" s="1"/>
  <c r="AR88" i="113" s="1"/>
  <c r="AB29" i="113"/>
  <c r="AB48" i="113" s="1"/>
  <c r="AB88" i="113" s="1"/>
  <c r="AL29" i="113"/>
  <c r="AL48" i="113" s="1"/>
  <c r="AL68" i="113" s="1"/>
  <c r="AO29" i="113"/>
  <c r="AO48" i="113" s="1"/>
  <c r="AO88" i="113" s="1"/>
  <c r="J29" i="113"/>
  <c r="J48" i="113" s="1"/>
  <c r="J88" i="113" s="1"/>
  <c r="AQ29" i="113"/>
  <c r="AQ48" i="113" s="1"/>
  <c r="AQ68" i="113" s="1"/>
  <c r="E29" i="113"/>
  <c r="E48" i="113" s="1"/>
  <c r="E88" i="113" s="1"/>
  <c r="AT29" i="113"/>
  <c r="AT48" i="113" s="1"/>
  <c r="AT88" i="113" s="1"/>
  <c r="AW29" i="113"/>
  <c r="AW48" i="113" s="1"/>
  <c r="AW68" i="113" s="1"/>
  <c r="T29" i="113"/>
  <c r="T48" i="113" s="1"/>
  <c r="T88" i="113" s="1"/>
  <c r="AS29" i="113"/>
  <c r="AS48" i="113" s="1"/>
  <c r="AS88" i="113" s="1"/>
  <c r="BB29" i="113"/>
  <c r="BB48" i="113" s="1"/>
  <c r="BB88" i="113" s="1"/>
  <c r="G29" i="113"/>
  <c r="G48" i="113" s="1"/>
  <c r="G88" i="113" s="1"/>
  <c r="W29" i="113"/>
  <c r="W48" i="113" s="1"/>
  <c r="W88" i="113" s="1"/>
  <c r="AI29" i="113"/>
  <c r="AI48" i="113" s="1"/>
  <c r="AI88" i="113" s="1"/>
  <c r="AA29" i="113"/>
  <c r="AA48" i="113" s="1"/>
  <c r="AA68" i="113" s="1"/>
  <c r="AZ29" i="113"/>
  <c r="AZ48" i="113" s="1"/>
  <c r="AZ88" i="113" s="1"/>
  <c r="D29" i="113"/>
  <c r="D48" i="113" s="1"/>
  <c r="D88" i="113" s="1"/>
  <c r="O29" i="113"/>
  <c r="O48" i="113" s="1"/>
  <c r="O88" i="113" s="1"/>
  <c r="AM29" i="113"/>
  <c r="AM48" i="113" s="1"/>
  <c r="AM88" i="113" s="1"/>
  <c r="U29" i="113"/>
  <c r="U48" i="113" s="1"/>
  <c r="U88" i="113" s="1"/>
  <c r="AK29" i="113"/>
  <c r="AK48" i="113" s="1"/>
  <c r="AK88" i="113" s="1"/>
  <c r="AE29" i="113"/>
  <c r="AE48" i="113" s="1"/>
  <c r="AE68" i="113" s="1"/>
  <c r="S29" i="113"/>
  <c r="S48" i="113" s="1"/>
  <c r="S88" i="113" s="1"/>
  <c r="R29" i="113"/>
  <c r="R48" i="113" s="1"/>
  <c r="R88" i="113" s="1"/>
  <c r="BR10" i="113"/>
  <c r="BR3" i="111"/>
  <c r="AW79" i="113"/>
  <c r="AS15" i="113"/>
  <c r="AS34" i="113" s="1"/>
  <c r="AS54" i="113" s="1"/>
  <c r="AI59" i="113"/>
  <c r="Z59" i="113"/>
  <c r="AG79" i="113"/>
  <c r="I80" i="113"/>
  <c r="I60" i="113"/>
  <c r="BC25" i="113"/>
  <c r="BC44" i="113" s="1"/>
  <c r="BC64" i="113" s="1"/>
  <c r="BR11" i="113"/>
  <c r="W80" i="113"/>
  <c r="M20" i="111"/>
  <c r="L20" i="111" s="1"/>
  <c r="J20" i="111"/>
  <c r="M16" i="111"/>
  <c r="L16" i="111" s="1"/>
  <c r="J16" i="111"/>
  <c r="M17" i="111"/>
  <c r="L17" i="111" s="1"/>
  <c r="J17" i="111"/>
  <c r="M19" i="111"/>
  <c r="L19" i="111" s="1"/>
  <c r="J19" i="111"/>
  <c r="M18" i="111"/>
  <c r="L18" i="111" s="1"/>
  <c r="J18" i="111"/>
  <c r="M12" i="111"/>
  <c r="L12" i="111" s="1"/>
  <c r="J12" i="111"/>
  <c r="AT24" i="113"/>
  <c r="AT43" i="113" s="1"/>
  <c r="AT63" i="113" s="1"/>
  <c r="AG15" i="113"/>
  <c r="AG34" i="113" s="1"/>
  <c r="AG54" i="113" s="1"/>
  <c r="K15" i="113"/>
  <c r="K34" i="113" s="1"/>
  <c r="K54" i="113" s="1"/>
  <c r="AQ15" i="113"/>
  <c r="AQ34" i="113" s="1"/>
  <c r="AQ54" i="113" s="1"/>
  <c r="AU15" i="113"/>
  <c r="AU34" i="113" s="1"/>
  <c r="AU54" i="113" s="1"/>
  <c r="Y15" i="113"/>
  <c r="Y34" i="113" s="1"/>
  <c r="Y54" i="113" s="1"/>
  <c r="V15" i="113"/>
  <c r="V34" i="113" s="1"/>
  <c r="V54" i="113" s="1"/>
  <c r="AH15" i="113"/>
  <c r="AH34" i="113" s="1"/>
  <c r="AH54" i="113" s="1"/>
  <c r="AK15" i="113"/>
  <c r="AK34" i="113" s="1"/>
  <c r="AK54" i="113" s="1"/>
  <c r="CG3" i="111"/>
  <c r="D36" i="113"/>
  <c r="D56" i="113" s="1"/>
  <c r="BW3" i="111"/>
  <c r="BZ3" i="111"/>
  <c r="CB3" i="111" s="1"/>
  <c r="O60" i="113"/>
  <c r="H60" i="113"/>
  <c r="H80" i="113"/>
  <c r="Q60" i="113"/>
  <c r="Q80" i="113"/>
  <c r="AA18" i="113"/>
  <c r="AA37" i="113" s="1"/>
  <c r="AA57" i="113" s="1"/>
  <c r="K16" i="113"/>
  <c r="K35" i="113" s="1"/>
  <c r="Q16" i="113"/>
  <c r="Q35" i="113" s="1"/>
  <c r="D16" i="113"/>
  <c r="D35" i="113" s="1"/>
  <c r="L16" i="113"/>
  <c r="L35" i="113" s="1"/>
  <c r="I16" i="113"/>
  <c r="I35" i="113" s="1"/>
  <c r="E16" i="113"/>
  <c r="E35" i="113" s="1"/>
  <c r="M16" i="113"/>
  <c r="M35" i="113" s="1"/>
  <c r="C16" i="113"/>
  <c r="C35" i="113" s="1"/>
  <c r="F16" i="113"/>
  <c r="F35" i="113" s="1"/>
  <c r="N16" i="113"/>
  <c r="N35" i="113" s="1"/>
  <c r="G16" i="113"/>
  <c r="G35" i="113" s="1"/>
  <c r="O16" i="113"/>
  <c r="O35" i="113" s="1"/>
  <c r="J16" i="113"/>
  <c r="J35" i="113" s="1"/>
  <c r="H16" i="113"/>
  <c r="H35" i="113" s="1"/>
  <c r="P16" i="113"/>
  <c r="P35" i="113" s="1"/>
  <c r="BR19" i="113"/>
  <c r="BJ16" i="113"/>
  <c r="AF80" i="113"/>
  <c r="S59" i="113"/>
  <c r="BC60" i="113"/>
  <c r="F37" i="113"/>
  <c r="P37" i="113"/>
  <c r="P57" i="113" s="1"/>
  <c r="AK18" i="113"/>
  <c r="AK37" i="113" s="1"/>
  <c r="AK57" i="113" s="1"/>
  <c r="W18" i="113"/>
  <c r="W37" i="113" s="1"/>
  <c r="W77" i="113" s="1"/>
  <c r="Y18" i="113"/>
  <c r="Y37" i="113" s="1"/>
  <c r="Y77" i="113" s="1"/>
  <c r="C37" i="113"/>
  <c r="C57" i="113" s="1"/>
  <c r="AX18" i="113"/>
  <c r="AX37" i="113" s="1"/>
  <c r="AX57" i="113" s="1"/>
  <c r="AZ18" i="113"/>
  <c r="AZ37" i="113" s="1"/>
  <c r="AZ77" i="113" s="1"/>
  <c r="X18" i="113"/>
  <c r="X37" i="113" s="1"/>
  <c r="X77" i="113" s="1"/>
  <c r="AM60" i="113"/>
  <c r="BN19" i="113"/>
  <c r="BO19" i="113" s="1"/>
  <c r="AF18" i="113"/>
  <c r="AF37" i="113" s="1"/>
  <c r="AF77" i="113" s="1"/>
  <c r="AQ59" i="113"/>
  <c r="R59" i="113"/>
  <c r="AN60" i="113"/>
  <c r="AO79" i="113"/>
  <c r="N37" i="113"/>
  <c r="AG18" i="113"/>
  <c r="AG37" i="113" s="1"/>
  <c r="AG77" i="113" s="1"/>
  <c r="AW60" i="113"/>
  <c r="AB18" i="113"/>
  <c r="AB37" i="113" s="1"/>
  <c r="AB57" i="113" s="1"/>
  <c r="AY59" i="113"/>
  <c r="G37" i="113"/>
  <c r="G57" i="113" s="1"/>
  <c r="AO18" i="113"/>
  <c r="AO37" i="113" s="1"/>
  <c r="AO57" i="113" s="1"/>
  <c r="O37" i="113"/>
  <c r="O57" i="113" s="1"/>
  <c r="AP18" i="113"/>
  <c r="AP37" i="113" s="1"/>
  <c r="AP77" i="113" s="1"/>
  <c r="L37" i="113"/>
  <c r="L57" i="113" s="1"/>
  <c r="G60" i="113"/>
  <c r="AH79" i="113"/>
  <c r="Y60" i="113"/>
  <c r="AP59" i="113"/>
  <c r="AA59" i="113"/>
  <c r="AV60" i="113"/>
  <c r="AQ18" i="113"/>
  <c r="AQ37" i="113" s="1"/>
  <c r="AQ57" i="113" s="1"/>
  <c r="AD18" i="113"/>
  <c r="AD37" i="113" s="1"/>
  <c r="AD77" i="113" s="1"/>
  <c r="AM18" i="113"/>
  <c r="AM37" i="113" s="1"/>
  <c r="AM77" i="113" s="1"/>
  <c r="AV18" i="113"/>
  <c r="AV37" i="113" s="1"/>
  <c r="AV57" i="113" s="1"/>
  <c r="J37" i="113"/>
  <c r="D37" i="113"/>
  <c r="T18" i="113"/>
  <c r="T37" i="113" s="1"/>
  <c r="T77" i="113" s="1"/>
  <c r="AL18" i="113"/>
  <c r="AL37" i="113" s="1"/>
  <c r="AL77" i="113" s="1"/>
  <c r="AU18" i="113"/>
  <c r="AU37" i="113" s="1"/>
  <c r="AU77" i="113" s="1"/>
  <c r="R18" i="113"/>
  <c r="R37" i="113" s="1"/>
  <c r="R77" i="113" s="1"/>
  <c r="AY18" i="113"/>
  <c r="AY37" i="113" s="1"/>
  <c r="AY57" i="113" s="1"/>
  <c r="S18" i="113"/>
  <c r="S37" i="113" s="1"/>
  <c r="S57" i="113" s="1"/>
  <c r="AE18" i="113"/>
  <c r="AE37" i="113" s="1"/>
  <c r="AE57" i="113" s="1"/>
  <c r="AN18" i="113"/>
  <c r="AN37" i="113" s="1"/>
  <c r="AN77" i="113" s="1"/>
  <c r="AS18" i="113"/>
  <c r="AS37" i="113" s="1"/>
  <c r="AS77" i="113" s="1"/>
  <c r="AR18" i="113"/>
  <c r="AR37" i="113" s="1"/>
  <c r="AR57" i="113" s="1"/>
  <c r="K37" i="113"/>
  <c r="AT18" i="113"/>
  <c r="AT37" i="113" s="1"/>
  <c r="AT77" i="113" s="1"/>
  <c r="BC18" i="113"/>
  <c r="BC37" i="113" s="1"/>
  <c r="BC57" i="113" s="1"/>
  <c r="I37" i="113"/>
  <c r="I57" i="113" s="1"/>
  <c r="Z18" i="113"/>
  <c r="Z37" i="113" s="1"/>
  <c r="Z77" i="113" s="1"/>
  <c r="M37" i="113"/>
  <c r="M57" i="113" s="1"/>
  <c r="BA18" i="113"/>
  <c r="BA37" i="113" s="1"/>
  <c r="BA77" i="113" s="1"/>
  <c r="E37" i="113"/>
  <c r="E57" i="113" s="1"/>
  <c r="V18" i="113"/>
  <c r="V37" i="113" s="1"/>
  <c r="V77" i="113" s="1"/>
  <c r="AW18" i="113"/>
  <c r="AW37" i="113" s="1"/>
  <c r="AW77" i="113" s="1"/>
  <c r="U18" i="113"/>
  <c r="U37" i="113" s="1"/>
  <c r="U77" i="113" s="1"/>
  <c r="BB18" i="113"/>
  <c r="BB37" i="113" s="1"/>
  <c r="BB77" i="113" s="1"/>
  <c r="H37" i="113"/>
  <c r="Q37" i="113"/>
  <c r="AH18" i="113"/>
  <c r="AH37" i="113" s="1"/>
  <c r="AH77" i="113" s="1"/>
  <c r="AC18" i="113"/>
  <c r="AC37" i="113" s="1"/>
  <c r="AC57" i="113" s="1"/>
  <c r="AI18" i="113"/>
  <c r="AI37" i="113" s="1"/>
  <c r="AI57" i="113" s="1"/>
  <c r="AJ18" i="113"/>
  <c r="AJ37" i="113" s="1"/>
  <c r="AJ77" i="113" s="1"/>
  <c r="C36" i="113"/>
  <c r="C56" i="113" s="1"/>
  <c r="K36" i="113"/>
  <c r="K56" i="113" s="1"/>
  <c r="N36" i="113"/>
  <c r="N56" i="113" s="1"/>
  <c r="J36" i="113"/>
  <c r="J56" i="113" s="1"/>
  <c r="G36" i="113"/>
  <c r="G56" i="113" s="1"/>
  <c r="F36" i="113"/>
  <c r="F56" i="113" s="1"/>
  <c r="Q36" i="113"/>
  <c r="Q56" i="113" s="1"/>
  <c r="I36" i="113"/>
  <c r="I56" i="113" s="1"/>
  <c r="M36" i="113"/>
  <c r="M56" i="113" s="1"/>
  <c r="P36" i="113"/>
  <c r="P56" i="113" s="1"/>
  <c r="E36" i="113"/>
  <c r="E56" i="113" s="1"/>
  <c r="H36" i="113"/>
  <c r="H56" i="113" s="1"/>
  <c r="O36" i="113"/>
  <c r="O56" i="113" s="1"/>
  <c r="L36" i="113"/>
  <c r="L56" i="113" s="1"/>
  <c r="Y79" i="113"/>
  <c r="R78" i="113"/>
  <c r="AX59" i="113"/>
  <c r="AU60" i="113"/>
  <c r="X60" i="113"/>
  <c r="P60" i="113"/>
  <c r="AY78" i="113"/>
  <c r="BB25" i="113"/>
  <c r="BB44" i="113" s="1"/>
  <c r="BB64" i="113" s="1"/>
  <c r="AN58" i="113"/>
  <c r="S78" i="113"/>
  <c r="AG58" i="113"/>
  <c r="AQ58" i="113"/>
  <c r="Q25" i="113"/>
  <c r="Q44" i="113" s="1"/>
  <c r="Q64" i="113" s="1"/>
  <c r="I25" i="113"/>
  <c r="I44" i="113" s="1"/>
  <c r="I64" i="113" s="1"/>
  <c r="J25" i="113"/>
  <c r="J44" i="113" s="1"/>
  <c r="J64" i="113" s="1"/>
  <c r="AO25" i="113"/>
  <c r="AO44" i="113" s="1"/>
  <c r="AO64" i="113" s="1"/>
  <c r="AA25" i="113"/>
  <c r="AA44" i="113" s="1"/>
  <c r="AA64" i="113" s="1"/>
  <c r="AJ25" i="113"/>
  <c r="AJ44" i="113" s="1"/>
  <c r="AJ64" i="113" s="1"/>
  <c r="AS25" i="113"/>
  <c r="AS44" i="113" s="1"/>
  <c r="AS64" i="113" s="1"/>
  <c r="BC16" i="113"/>
  <c r="BC35" i="113" s="1"/>
  <c r="BC55" i="113" s="1"/>
  <c r="AV58" i="113"/>
  <c r="X25" i="113"/>
  <c r="X44" i="113" s="1"/>
  <c r="X64" i="113" s="1"/>
  <c r="AG25" i="113"/>
  <c r="AG44" i="113" s="1"/>
  <c r="AG64" i="113" s="1"/>
  <c r="AI25" i="113"/>
  <c r="AI44" i="113" s="1"/>
  <c r="AI64" i="113" s="1"/>
  <c r="AR25" i="113"/>
  <c r="AR44" i="113" s="1"/>
  <c r="AR64" i="113" s="1"/>
  <c r="BA25" i="113"/>
  <c r="BA44" i="113" s="1"/>
  <c r="BA64" i="113" s="1"/>
  <c r="G25" i="113"/>
  <c r="G44" i="113" s="1"/>
  <c r="G64" i="113" s="1"/>
  <c r="F25" i="113"/>
  <c r="F44" i="113" s="1"/>
  <c r="F64" i="113" s="1"/>
  <c r="Z58" i="113"/>
  <c r="Y25" i="113"/>
  <c r="Y44" i="113" s="1"/>
  <c r="Y64" i="113" s="1"/>
  <c r="AF25" i="113"/>
  <c r="AF44" i="113" s="1"/>
  <c r="AF64" i="113" s="1"/>
  <c r="P25" i="113"/>
  <c r="P44" i="113" s="1"/>
  <c r="P64" i="113" s="1"/>
  <c r="AY25" i="113"/>
  <c r="AY44" i="113" s="1"/>
  <c r="AY64" i="113" s="1"/>
  <c r="E25" i="113"/>
  <c r="E44" i="113" s="1"/>
  <c r="E64" i="113" s="1"/>
  <c r="N25" i="113"/>
  <c r="N44" i="113" s="1"/>
  <c r="N64" i="113" s="1"/>
  <c r="W25" i="113"/>
  <c r="W44" i="113" s="1"/>
  <c r="W64" i="113" s="1"/>
  <c r="AZ25" i="113"/>
  <c r="AZ44" i="113" s="1"/>
  <c r="AZ64" i="113" s="1"/>
  <c r="AI58" i="113"/>
  <c r="AV25" i="113"/>
  <c r="AV44" i="113" s="1"/>
  <c r="AV64" i="113" s="1"/>
  <c r="AX25" i="113"/>
  <c r="AX44" i="113" s="1"/>
  <c r="AX64" i="113" s="1"/>
  <c r="AH25" i="113"/>
  <c r="AH44" i="113" s="1"/>
  <c r="AH64" i="113" s="1"/>
  <c r="D25" i="113"/>
  <c r="D44" i="113" s="1"/>
  <c r="D64" i="113" s="1"/>
  <c r="M25" i="113"/>
  <c r="M44" i="113" s="1"/>
  <c r="M64" i="113" s="1"/>
  <c r="V25" i="113"/>
  <c r="V44" i="113" s="1"/>
  <c r="V64" i="113" s="1"/>
  <c r="AM25" i="113"/>
  <c r="AM44" i="113" s="1"/>
  <c r="AM64" i="113" s="1"/>
  <c r="AH58" i="113"/>
  <c r="Y58" i="113"/>
  <c r="H25" i="113"/>
  <c r="H44" i="113" s="1"/>
  <c r="H64" i="113" s="1"/>
  <c r="AN25" i="113"/>
  <c r="AN44" i="113" s="1"/>
  <c r="AN64" i="113" s="1"/>
  <c r="C25" i="113"/>
  <c r="C44" i="113" s="1"/>
  <c r="C64" i="113" s="1"/>
  <c r="L25" i="113"/>
  <c r="L44" i="113" s="1"/>
  <c r="L64" i="113" s="1"/>
  <c r="U25" i="113"/>
  <c r="U44" i="113" s="1"/>
  <c r="U64" i="113" s="1"/>
  <c r="AD25" i="113"/>
  <c r="AD44" i="113" s="1"/>
  <c r="AD64" i="113" s="1"/>
  <c r="AU25" i="113"/>
  <c r="AU44" i="113" s="1"/>
  <c r="AU64" i="113" s="1"/>
  <c r="AQ25" i="113"/>
  <c r="AQ44" i="113" s="1"/>
  <c r="AQ64" i="113" s="1"/>
  <c r="Z25" i="113"/>
  <c r="Z44" i="113" s="1"/>
  <c r="Z64" i="113" s="1"/>
  <c r="R25" i="113"/>
  <c r="R44" i="113" s="1"/>
  <c r="R64" i="113" s="1"/>
  <c r="K25" i="113"/>
  <c r="K44" i="113" s="1"/>
  <c r="K64" i="113" s="1"/>
  <c r="T25" i="113"/>
  <c r="T44" i="113" s="1"/>
  <c r="T64" i="113" s="1"/>
  <c r="AC25" i="113"/>
  <c r="AC44" i="113" s="1"/>
  <c r="AC64" i="113" s="1"/>
  <c r="AL25" i="113"/>
  <c r="AL44" i="113" s="1"/>
  <c r="AL64" i="113" s="1"/>
  <c r="AP25" i="113"/>
  <c r="AP44" i="113" s="1"/>
  <c r="AP64" i="113" s="1"/>
  <c r="O25" i="113"/>
  <c r="O44" i="113" s="1"/>
  <c r="O64" i="113" s="1"/>
  <c r="AW25" i="113"/>
  <c r="AW44" i="113" s="1"/>
  <c r="AW64" i="113" s="1"/>
  <c r="S25" i="113"/>
  <c r="S44" i="113" s="1"/>
  <c r="S64" i="113" s="1"/>
  <c r="AB25" i="113"/>
  <c r="AB44" i="113" s="1"/>
  <c r="AB64" i="113" s="1"/>
  <c r="AK25" i="113"/>
  <c r="AK44" i="113" s="1"/>
  <c r="AK64" i="113" s="1"/>
  <c r="AT25" i="113"/>
  <c r="AT44" i="113" s="1"/>
  <c r="AT64" i="113" s="1"/>
  <c r="AP78" i="113"/>
  <c r="AU16" i="113"/>
  <c r="AU35" i="113" s="1"/>
  <c r="AU55" i="113" s="1"/>
  <c r="AO60" i="113"/>
  <c r="AE60" i="113"/>
  <c r="AG80" i="113"/>
  <c r="AG60" i="113"/>
  <c r="X58" i="113"/>
  <c r="AA78" i="113"/>
  <c r="AO58" i="113"/>
  <c r="AF78" i="113"/>
  <c r="AF58" i="113"/>
  <c r="AX58" i="113"/>
  <c r="AW58" i="113"/>
  <c r="AE25" i="113"/>
  <c r="AE44" i="113" s="1"/>
  <c r="AE64" i="113" s="1"/>
  <c r="AQ16" i="113"/>
  <c r="AQ35" i="113" s="1"/>
  <c r="AQ55" i="113" s="1"/>
  <c r="AX16" i="113"/>
  <c r="AX35" i="113" s="1"/>
  <c r="AX55" i="113" s="1"/>
  <c r="AW16" i="113"/>
  <c r="AW35" i="113" s="1"/>
  <c r="AW55" i="113" s="1"/>
  <c r="AE16" i="113"/>
  <c r="AE35" i="113" s="1"/>
  <c r="AE55" i="113" s="1"/>
  <c r="AI16" i="113"/>
  <c r="AI35" i="113" s="1"/>
  <c r="AI55" i="113" s="1"/>
  <c r="AP16" i="113"/>
  <c r="AP35" i="113" s="1"/>
  <c r="AP55" i="113" s="1"/>
  <c r="AO16" i="113"/>
  <c r="AO35" i="113" s="1"/>
  <c r="AO55" i="113" s="1"/>
  <c r="W16" i="113"/>
  <c r="W35" i="113" s="1"/>
  <c r="W55" i="113" s="1"/>
  <c r="AM16" i="113"/>
  <c r="AM35" i="113" s="1"/>
  <c r="AM55" i="113" s="1"/>
  <c r="AA16" i="113"/>
  <c r="AA35" i="113" s="1"/>
  <c r="AA55" i="113" s="1"/>
  <c r="AH16" i="113"/>
  <c r="AH35" i="113" s="1"/>
  <c r="AH55" i="113" s="1"/>
  <c r="AG16" i="113"/>
  <c r="AG35" i="113" s="1"/>
  <c r="AG55" i="113" s="1"/>
  <c r="AV16" i="113"/>
  <c r="AV35" i="113" s="1"/>
  <c r="AV55" i="113" s="1"/>
  <c r="S16" i="113"/>
  <c r="S35" i="113" s="1"/>
  <c r="S55" i="113" s="1"/>
  <c r="Z16" i="113"/>
  <c r="Z35" i="113" s="1"/>
  <c r="Z55" i="113" s="1"/>
  <c r="Y16" i="113"/>
  <c r="Y35" i="113" s="1"/>
  <c r="Y55" i="113" s="1"/>
  <c r="AN16" i="113"/>
  <c r="AN35" i="113" s="1"/>
  <c r="AN55" i="113" s="1"/>
  <c r="R16" i="113"/>
  <c r="R35" i="113" s="1"/>
  <c r="R55" i="113" s="1"/>
  <c r="AF16" i="113"/>
  <c r="AF35" i="113" s="1"/>
  <c r="AF55" i="113" s="1"/>
  <c r="BT10" i="113"/>
  <c r="BU10" i="113" s="1"/>
  <c r="X16" i="113"/>
  <c r="X35" i="113" s="1"/>
  <c r="X55" i="113" s="1"/>
  <c r="AY16" i="113"/>
  <c r="AY35" i="113" s="1"/>
  <c r="AY55" i="113" s="1"/>
  <c r="BA16" i="113"/>
  <c r="BA35" i="113" s="1"/>
  <c r="BA55" i="113" s="1"/>
  <c r="AD16" i="113"/>
  <c r="AD35" i="113" s="1"/>
  <c r="AD55" i="113" s="1"/>
  <c r="AZ16" i="113"/>
  <c r="AZ35" i="113" s="1"/>
  <c r="AZ55" i="113" s="1"/>
  <c r="AC16" i="113"/>
  <c r="AC35" i="113" s="1"/>
  <c r="AC55" i="113" s="1"/>
  <c r="AT16" i="113"/>
  <c r="AT35" i="113" s="1"/>
  <c r="AT55" i="113" s="1"/>
  <c r="AB16" i="113"/>
  <c r="AB35" i="113" s="1"/>
  <c r="AB55" i="113" s="1"/>
  <c r="AS16" i="113"/>
  <c r="AS35" i="113" s="1"/>
  <c r="AS55" i="113" s="1"/>
  <c r="V16" i="113"/>
  <c r="V35" i="113" s="1"/>
  <c r="V55" i="113" s="1"/>
  <c r="AR16" i="113"/>
  <c r="AR35" i="113" s="1"/>
  <c r="AR55" i="113" s="1"/>
  <c r="U16" i="113"/>
  <c r="U35" i="113" s="1"/>
  <c r="U55" i="113" s="1"/>
  <c r="AL16" i="113"/>
  <c r="AL35" i="113" s="1"/>
  <c r="AL55" i="113" s="1"/>
  <c r="T16" i="113"/>
  <c r="T35" i="113" s="1"/>
  <c r="T55" i="113" s="1"/>
  <c r="AK16" i="113"/>
  <c r="AK35" i="113" s="1"/>
  <c r="AK55" i="113" s="1"/>
  <c r="BB16" i="113"/>
  <c r="BB35" i="113" s="1"/>
  <c r="BB55" i="113" s="1"/>
  <c r="AJ16" i="113"/>
  <c r="AJ35" i="113" s="1"/>
  <c r="AJ55" i="113" s="1"/>
  <c r="AT80" i="113"/>
  <c r="AT60" i="113"/>
  <c r="AE79" i="113"/>
  <c r="AE59" i="113"/>
  <c r="AI80" i="113"/>
  <c r="AI60" i="113"/>
  <c r="AC79" i="113"/>
  <c r="AC59" i="113"/>
  <c r="U78" i="113"/>
  <c r="U58" i="113"/>
  <c r="AL80" i="113"/>
  <c r="AL60" i="113"/>
  <c r="AC80" i="113"/>
  <c r="AC60" i="113"/>
  <c r="W79" i="113"/>
  <c r="W59" i="113"/>
  <c r="L60" i="113"/>
  <c r="AA80" i="113"/>
  <c r="AA60" i="113"/>
  <c r="U79" i="113"/>
  <c r="U59" i="113"/>
  <c r="AX80" i="113"/>
  <c r="AX60" i="113"/>
  <c r="AR79" i="113"/>
  <c r="AR59" i="113"/>
  <c r="AJ78" i="113"/>
  <c r="AJ58" i="113"/>
  <c r="T60" i="113"/>
  <c r="T80" i="113"/>
  <c r="AR78" i="113"/>
  <c r="AR58" i="113"/>
  <c r="AD80" i="113"/>
  <c r="AD60" i="113"/>
  <c r="D60" i="113"/>
  <c r="AJ79" i="113"/>
  <c r="AJ59" i="113"/>
  <c r="V80" i="113"/>
  <c r="V60" i="113"/>
  <c r="M60" i="113"/>
  <c r="BB79" i="113"/>
  <c r="BB59" i="113"/>
  <c r="AT58" i="113"/>
  <c r="AT78" i="113"/>
  <c r="K60" i="113"/>
  <c r="AH80" i="113"/>
  <c r="AH60" i="113"/>
  <c r="AB79" i="113"/>
  <c r="AB59" i="113"/>
  <c r="T78" i="113"/>
  <c r="T58" i="113"/>
  <c r="S80" i="113"/>
  <c r="S60" i="113"/>
  <c r="AB78" i="113"/>
  <c r="AB58" i="113"/>
  <c r="N60" i="113"/>
  <c r="E60" i="113"/>
  <c r="AU78" i="113"/>
  <c r="AU58" i="113"/>
  <c r="AZ60" i="113"/>
  <c r="AZ80" i="113"/>
  <c r="AT79" i="113"/>
  <c r="AT59" i="113"/>
  <c r="AL58" i="113"/>
  <c r="AL78" i="113"/>
  <c r="C60" i="113"/>
  <c r="BA78" i="113"/>
  <c r="BA58" i="113"/>
  <c r="Z80" i="113"/>
  <c r="Z60" i="113"/>
  <c r="T79" i="113"/>
  <c r="T59" i="113"/>
  <c r="F60" i="113"/>
  <c r="BC79" i="113"/>
  <c r="BC59" i="113"/>
  <c r="AM78" i="113"/>
  <c r="AM58" i="113"/>
  <c r="AR80" i="113"/>
  <c r="AR60" i="113"/>
  <c r="AL79" i="113"/>
  <c r="AL59" i="113"/>
  <c r="AD58" i="113"/>
  <c r="AD78" i="113"/>
  <c r="BA79" i="113"/>
  <c r="BA59" i="113"/>
  <c r="AS78" i="113"/>
  <c r="AS58" i="113"/>
  <c r="R80" i="113"/>
  <c r="R60" i="113"/>
  <c r="X79" i="113"/>
  <c r="X59" i="113"/>
  <c r="AZ79" i="113"/>
  <c r="AZ59" i="113"/>
  <c r="BB58" i="113"/>
  <c r="BB78" i="113"/>
  <c r="AP80" i="113"/>
  <c r="AP60" i="113"/>
  <c r="AN79" i="113"/>
  <c r="AN59" i="113"/>
  <c r="BA80" i="113"/>
  <c r="BA60" i="113"/>
  <c r="AU79" i="113"/>
  <c r="AU59" i="113"/>
  <c r="AE78" i="113"/>
  <c r="AE58" i="113"/>
  <c r="AJ60" i="113"/>
  <c r="AJ80" i="113"/>
  <c r="AD79" i="113"/>
  <c r="AD59" i="113"/>
  <c r="V78" i="113"/>
  <c r="V58" i="113"/>
  <c r="AY80" i="113"/>
  <c r="AY60" i="113"/>
  <c r="AS79" i="113"/>
  <c r="AS59" i="113"/>
  <c r="AK78" i="113"/>
  <c r="AK58" i="113"/>
  <c r="J60" i="113"/>
  <c r="AK80" i="113"/>
  <c r="AK60" i="113"/>
  <c r="U80" i="113"/>
  <c r="U60" i="113"/>
  <c r="AF79" i="113"/>
  <c r="AF59" i="113"/>
  <c r="AS80" i="113"/>
  <c r="AS60" i="113"/>
  <c r="AM79" i="113"/>
  <c r="AM59" i="113"/>
  <c r="W78" i="113"/>
  <c r="W58" i="113"/>
  <c r="AB60" i="113"/>
  <c r="AB80" i="113"/>
  <c r="V79" i="113"/>
  <c r="V59" i="113"/>
  <c r="AQ80" i="113"/>
  <c r="AQ60" i="113"/>
  <c r="AK79" i="113"/>
  <c r="AK59" i="113"/>
  <c r="AC78" i="113"/>
  <c r="AC58" i="113"/>
  <c r="AZ78" i="113"/>
  <c r="AZ58" i="113"/>
  <c r="J3" i="111" l="1"/>
  <c r="K21" i="111"/>
  <c r="O68" i="113"/>
  <c r="E68" i="113"/>
  <c r="K68" i="113"/>
  <c r="AJ68" i="113"/>
  <c r="Z88" i="113"/>
  <c r="M3" i="111"/>
  <c r="AM68" i="113"/>
  <c r="AN88" i="113"/>
  <c r="AE88" i="113"/>
  <c r="AT68" i="113"/>
  <c r="BC68" i="113"/>
  <c r="AU68" i="113"/>
  <c r="U68" i="113"/>
  <c r="AW88" i="113"/>
  <c r="S68" i="113"/>
  <c r="N68" i="113"/>
  <c r="R68" i="113"/>
  <c r="J68" i="113"/>
  <c r="AQ88" i="113"/>
  <c r="Y88" i="113"/>
  <c r="AO68" i="113"/>
  <c r="P68" i="113"/>
  <c r="H68" i="113"/>
  <c r="AL88" i="113"/>
  <c r="V88" i="113"/>
  <c r="Q68" i="113"/>
  <c r="AK68" i="113"/>
  <c r="AH88" i="113"/>
  <c r="C88" i="113"/>
  <c r="AX68" i="113"/>
  <c r="AG88" i="113"/>
  <c r="X68" i="113"/>
  <c r="BB68" i="113"/>
  <c r="F68" i="113"/>
  <c r="T68" i="113"/>
  <c r="AP68" i="113"/>
  <c r="AY68" i="113"/>
  <c r="AV68" i="113"/>
  <c r="G68" i="113"/>
  <c r="AD68" i="113"/>
  <c r="BA68" i="113"/>
  <c r="AR68" i="113"/>
  <c r="AS68" i="113"/>
  <c r="W68" i="113"/>
  <c r="AB68" i="113"/>
  <c r="AZ68" i="113"/>
  <c r="I68" i="113"/>
  <c r="AF68" i="113"/>
  <c r="AI68" i="113"/>
  <c r="L68" i="113"/>
  <c r="D68" i="113"/>
  <c r="M68" i="113"/>
  <c r="AC68" i="113"/>
  <c r="AA88" i="113"/>
  <c r="AL15" i="113"/>
  <c r="AL34" i="113" s="1"/>
  <c r="AL54" i="113" s="1"/>
  <c r="M15" i="113"/>
  <c r="M34" i="113" s="1"/>
  <c r="M54" i="113" s="1"/>
  <c r="Q15" i="113"/>
  <c r="Q34" i="113" s="1"/>
  <c r="Q54" i="113" s="1"/>
  <c r="BT7" i="113"/>
  <c r="AA15" i="113"/>
  <c r="AA34" i="113" s="1"/>
  <c r="AA54" i="113" s="1"/>
  <c r="AN15" i="113"/>
  <c r="AN34" i="113" s="1"/>
  <c r="AN54" i="113" s="1"/>
  <c r="AP15" i="113"/>
  <c r="AP34" i="113" s="1"/>
  <c r="AP54" i="113" s="1"/>
  <c r="T15" i="113"/>
  <c r="T34" i="113" s="1"/>
  <c r="T54" i="113" s="1"/>
  <c r="BC15" i="113"/>
  <c r="BC34" i="113" s="1"/>
  <c r="BC54" i="113" s="1"/>
  <c r="AD15" i="113"/>
  <c r="AD34" i="113" s="1"/>
  <c r="AD54" i="113" s="1"/>
  <c r="AE15" i="113"/>
  <c r="AE34" i="113" s="1"/>
  <c r="AE54" i="113" s="1"/>
  <c r="AW15" i="113"/>
  <c r="AW34" i="113" s="1"/>
  <c r="AW54" i="113" s="1"/>
  <c r="I15" i="113"/>
  <c r="I34" i="113" s="1"/>
  <c r="I54" i="113" s="1"/>
  <c r="W15" i="113"/>
  <c r="W34" i="113" s="1"/>
  <c r="W54" i="113" s="1"/>
  <c r="U15" i="113"/>
  <c r="U34" i="113" s="1"/>
  <c r="U54" i="113" s="1"/>
  <c r="F15" i="113"/>
  <c r="F34" i="113" s="1"/>
  <c r="F54" i="113" s="1"/>
  <c r="L15" i="113"/>
  <c r="L34" i="113" s="1"/>
  <c r="L54" i="113" s="1"/>
  <c r="BA15" i="113"/>
  <c r="BA34" i="113" s="1"/>
  <c r="BA54" i="113" s="1"/>
  <c r="AY15" i="113"/>
  <c r="AY34" i="113" s="1"/>
  <c r="AY54" i="113" s="1"/>
  <c r="BB15" i="113"/>
  <c r="BB34" i="113" s="1"/>
  <c r="BB54" i="113" s="1"/>
  <c r="P15" i="113"/>
  <c r="P34" i="113" s="1"/>
  <c r="P54" i="113" s="1"/>
  <c r="AF15" i="113"/>
  <c r="AF34" i="113" s="1"/>
  <c r="AF54" i="113" s="1"/>
  <c r="AT15" i="113"/>
  <c r="AT34" i="113" s="1"/>
  <c r="AT54" i="113" s="1"/>
  <c r="AV15" i="113"/>
  <c r="AV34" i="113" s="1"/>
  <c r="AV54" i="113" s="1"/>
  <c r="J15" i="113"/>
  <c r="J34" i="113" s="1"/>
  <c r="J54" i="113" s="1"/>
  <c r="AR15" i="113"/>
  <c r="AR34" i="113" s="1"/>
  <c r="AR54" i="113" s="1"/>
  <c r="G15" i="113"/>
  <c r="G34" i="113" s="1"/>
  <c r="G54" i="113" s="1"/>
  <c r="X15" i="113"/>
  <c r="X34" i="113" s="1"/>
  <c r="X54" i="113" s="1"/>
  <c r="O15" i="113"/>
  <c r="O34" i="113" s="1"/>
  <c r="O54" i="113" s="1"/>
  <c r="AC15" i="113"/>
  <c r="AC34" i="113" s="1"/>
  <c r="AC54" i="113" s="1"/>
  <c r="E15" i="113"/>
  <c r="E34" i="113" s="1"/>
  <c r="E54" i="113" s="1"/>
  <c r="AJ15" i="113"/>
  <c r="AJ34" i="113" s="1"/>
  <c r="AJ54" i="113" s="1"/>
  <c r="AB15" i="113"/>
  <c r="AB34" i="113" s="1"/>
  <c r="AB54" i="113" s="1"/>
  <c r="Z15" i="113"/>
  <c r="Z34" i="113" s="1"/>
  <c r="Z54" i="113" s="1"/>
  <c r="C15" i="113"/>
  <c r="C34" i="113" s="1"/>
  <c r="C54" i="113" s="1"/>
  <c r="AI15" i="113"/>
  <c r="AI34" i="113" s="1"/>
  <c r="AI54" i="113" s="1"/>
  <c r="H15" i="113"/>
  <c r="H34" i="113" s="1"/>
  <c r="H54" i="113" s="1"/>
  <c r="S15" i="113"/>
  <c r="S34" i="113" s="1"/>
  <c r="S54" i="113" s="1"/>
  <c r="AO15" i="113"/>
  <c r="AO34" i="113" s="1"/>
  <c r="AO54" i="113" s="1"/>
  <c r="R15" i="113"/>
  <c r="R34" i="113" s="1"/>
  <c r="R54" i="113" s="1"/>
  <c r="AX15" i="113"/>
  <c r="AX34" i="113" s="1"/>
  <c r="AX54" i="113" s="1"/>
  <c r="N15" i="113"/>
  <c r="N34" i="113" s="1"/>
  <c r="N54" i="113" s="1"/>
  <c r="AM15" i="113"/>
  <c r="AM34" i="113" s="1"/>
  <c r="AM54" i="113" s="1"/>
  <c r="D15" i="113"/>
  <c r="D34" i="113" s="1"/>
  <c r="D54" i="113" s="1"/>
  <c r="AZ15" i="113"/>
  <c r="AZ34" i="113" s="1"/>
  <c r="AZ54" i="113" s="1"/>
  <c r="BN15" i="113"/>
  <c r="BO15" i="113" s="1"/>
  <c r="G19" i="113"/>
  <c r="G38" i="113" s="1"/>
  <c r="G58" i="113" s="1"/>
  <c r="O19" i="113"/>
  <c r="O38" i="113" s="1"/>
  <c r="O58" i="113" s="1"/>
  <c r="BR15" i="113"/>
  <c r="H19" i="113"/>
  <c r="H38" i="113" s="1"/>
  <c r="H58" i="113" s="1"/>
  <c r="P19" i="113"/>
  <c r="P38" i="113" s="1"/>
  <c r="P58" i="113" s="1"/>
  <c r="I19" i="113"/>
  <c r="I38" i="113" s="1"/>
  <c r="I58" i="113" s="1"/>
  <c r="Q19" i="113"/>
  <c r="Q38" i="113" s="1"/>
  <c r="Q58" i="113" s="1"/>
  <c r="K19" i="113"/>
  <c r="K38" i="113" s="1"/>
  <c r="K58" i="113" s="1"/>
  <c r="J19" i="113"/>
  <c r="J38" i="113" s="1"/>
  <c r="J58" i="113" s="1"/>
  <c r="D19" i="113"/>
  <c r="D38" i="113" s="1"/>
  <c r="D58" i="113" s="1"/>
  <c r="L19" i="113"/>
  <c r="L38" i="113" s="1"/>
  <c r="L58" i="113" s="1"/>
  <c r="N19" i="113"/>
  <c r="N38" i="113" s="1"/>
  <c r="N58" i="113" s="1"/>
  <c r="E19" i="113"/>
  <c r="E38" i="113" s="1"/>
  <c r="E58" i="113" s="1"/>
  <c r="M19" i="113"/>
  <c r="M38" i="113" s="1"/>
  <c r="M58" i="113" s="1"/>
  <c r="F19" i="113"/>
  <c r="F38" i="113" s="1"/>
  <c r="F58" i="113" s="1"/>
  <c r="C19" i="113"/>
  <c r="C38" i="113" s="1"/>
  <c r="C58" i="113" s="1"/>
  <c r="C100" i="113"/>
  <c r="BN16" i="113"/>
  <c r="BO16" i="113" s="1"/>
  <c r="I20" i="113"/>
  <c r="I39" i="113" s="1"/>
  <c r="I59" i="113" s="1"/>
  <c r="Q20" i="113"/>
  <c r="Q39" i="113" s="1"/>
  <c r="Q59" i="113" s="1"/>
  <c r="E20" i="113"/>
  <c r="E39" i="113" s="1"/>
  <c r="E59" i="113" s="1"/>
  <c r="J20" i="113"/>
  <c r="J39" i="113" s="1"/>
  <c r="J59" i="113" s="1"/>
  <c r="BR16" i="113"/>
  <c r="M20" i="113"/>
  <c r="M39" i="113" s="1"/>
  <c r="M59" i="113" s="1"/>
  <c r="K20" i="113"/>
  <c r="K39" i="113" s="1"/>
  <c r="K59" i="113" s="1"/>
  <c r="D20" i="113"/>
  <c r="D39" i="113" s="1"/>
  <c r="D59" i="113" s="1"/>
  <c r="L20" i="113"/>
  <c r="L39" i="113" s="1"/>
  <c r="L59" i="113" s="1"/>
  <c r="F20" i="113"/>
  <c r="F39" i="113" s="1"/>
  <c r="F59" i="113" s="1"/>
  <c r="N20" i="113"/>
  <c r="N39" i="113" s="1"/>
  <c r="N59" i="113" s="1"/>
  <c r="P20" i="113"/>
  <c r="P39" i="113" s="1"/>
  <c r="P59" i="113" s="1"/>
  <c r="G20" i="113"/>
  <c r="G39" i="113" s="1"/>
  <c r="G59" i="113" s="1"/>
  <c r="O20" i="113"/>
  <c r="O39" i="113" s="1"/>
  <c r="O59" i="113" s="1"/>
  <c r="C20" i="113"/>
  <c r="C39" i="113" s="1"/>
  <c r="C59" i="113" s="1"/>
  <c r="H20" i="113"/>
  <c r="H39" i="113" s="1"/>
  <c r="H59" i="113" s="1"/>
  <c r="O24" i="113"/>
  <c r="O43" i="113" s="1"/>
  <c r="O63" i="113" s="1"/>
  <c r="E24" i="113"/>
  <c r="E43" i="113" s="1"/>
  <c r="E63" i="113" s="1"/>
  <c r="AA24" i="113"/>
  <c r="AA43" i="113" s="1"/>
  <c r="AA63" i="113" s="1"/>
  <c r="U24" i="113"/>
  <c r="U43" i="113" s="1"/>
  <c r="U63" i="113" s="1"/>
  <c r="S24" i="113"/>
  <c r="S43" i="113" s="1"/>
  <c r="S63" i="113" s="1"/>
  <c r="M24" i="113"/>
  <c r="M43" i="113" s="1"/>
  <c r="M63" i="113" s="1"/>
  <c r="I24" i="113"/>
  <c r="I43" i="113" s="1"/>
  <c r="I63" i="113" s="1"/>
  <c r="I23" i="111"/>
  <c r="AA77" i="113"/>
  <c r="M14" i="111"/>
  <c r="L14" i="111" s="1"/>
  <c r="J14" i="111"/>
  <c r="M13" i="111"/>
  <c r="J13" i="111"/>
  <c r="M15" i="111"/>
  <c r="L15" i="111" s="1"/>
  <c r="J15" i="111"/>
  <c r="M11" i="111"/>
  <c r="J11" i="111"/>
  <c r="AE24" i="113"/>
  <c r="AE43" i="113" s="1"/>
  <c r="AE63" i="113" s="1"/>
  <c r="AL24" i="113"/>
  <c r="AL43" i="113" s="1"/>
  <c r="AL63" i="113" s="1"/>
  <c r="F24" i="113"/>
  <c r="F43" i="113" s="1"/>
  <c r="F63" i="113" s="1"/>
  <c r="W24" i="113"/>
  <c r="W43" i="113" s="1"/>
  <c r="W63" i="113" s="1"/>
  <c r="N24" i="113"/>
  <c r="N43" i="113" s="1"/>
  <c r="N63" i="113" s="1"/>
  <c r="P24" i="113"/>
  <c r="P43" i="113" s="1"/>
  <c r="P63" i="113" s="1"/>
  <c r="AF24" i="113"/>
  <c r="AF43" i="113" s="1"/>
  <c r="AF63" i="113" s="1"/>
  <c r="AM24" i="113"/>
  <c r="AM43" i="113" s="1"/>
  <c r="AM63" i="113" s="1"/>
  <c r="AV24" i="113"/>
  <c r="AV43" i="113" s="1"/>
  <c r="AV63" i="113" s="1"/>
  <c r="BB24" i="113"/>
  <c r="BB43" i="113" s="1"/>
  <c r="BB63" i="113" s="1"/>
  <c r="R24" i="113"/>
  <c r="R43" i="113" s="1"/>
  <c r="R63" i="113" s="1"/>
  <c r="AO24" i="113"/>
  <c r="AO43" i="113" s="1"/>
  <c r="AO63" i="113" s="1"/>
  <c r="L24" i="113"/>
  <c r="L43" i="113" s="1"/>
  <c r="L63" i="113" s="1"/>
  <c r="D24" i="113"/>
  <c r="D43" i="113" s="1"/>
  <c r="D63" i="113" s="1"/>
  <c r="BR8" i="113"/>
  <c r="BA24" i="113"/>
  <c r="BA43" i="113" s="1"/>
  <c r="BA63" i="113" s="1"/>
  <c r="G24" i="113"/>
  <c r="G43" i="113" s="1"/>
  <c r="G63" i="113" s="1"/>
  <c r="H24" i="113"/>
  <c r="H43" i="113" s="1"/>
  <c r="H63" i="113" s="1"/>
  <c r="T24" i="113"/>
  <c r="T43" i="113" s="1"/>
  <c r="T63" i="113" s="1"/>
  <c r="BC24" i="113"/>
  <c r="BC43" i="113" s="1"/>
  <c r="BC63" i="113" s="1"/>
  <c r="AX24" i="113"/>
  <c r="AX43" i="113" s="1"/>
  <c r="AX63" i="113" s="1"/>
  <c r="AY24" i="113"/>
  <c r="AY43" i="113" s="1"/>
  <c r="AY63" i="113" s="1"/>
  <c r="AZ24" i="113"/>
  <c r="AZ43" i="113" s="1"/>
  <c r="AZ63" i="113" s="1"/>
  <c r="AS24" i="113"/>
  <c r="AS43" i="113" s="1"/>
  <c r="AS63" i="113" s="1"/>
  <c r="K24" i="113"/>
  <c r="K43" i="113" s="1"/>
  <c r="K63" i="113" s="1"/>
  <c r="C24" i="113"/>
  <c r="C43" i="113" s="1"/>
  <c r="C63" i="113" s="1"/>
  <c r="AC24" i="113"/>
  <c r="AC43" i="113" s="1"/>
  <c r="AC63" i="113" s="1"/>
  <c r="V24" i="113"/>
  <c r="V43" i="113" s="1"/>
  <c r="V63" i="113" s="1"/>
  <c r="AG24" i="113"/>
  <c r="AG43" i="113" s="1"/>
  <c r="AG63" i="113" s="1"/>
  <c r="AP24" i="113"/>
  <c r="AP43" i="113" s="1"/>
  <c r="AP63" i="113" s="1"/>
  <c r="AQ24" i="113"/>
  <c r="AQ43" i="113" s="1"/>
  <c r="AQ63" i="113" s="1"/>
  <c r="AR24" i="113"/>
  <c r="AR43" i="113" s="1"/>
  <c r="AR63" i="113" s="1"/>
  <c r="AN24" i="113"/>
  <c r="AN43" i="113" s="1"/>
  <c r="AN63" i="113" s="1"/>
  <c r="AW24" i="113"/>
  <c r="AW43" i="113" s="1"/>
  <c r="AW63" i="113" s="1"/>
  <c r="AD24" i="113"/>
  <c r="AD43" i="113" s="1"/>
  <c r="AD63" i="113" s="1"/>
  <c r="X24" i="113"/>
  <c r="X43" i="113" s="1"/>
  <c r="X63" i="113" s="1"/>
  <c r="Y24" i="113"/>
  <c r="Y43" i="113" s="1"/>
  <c r="Y63" i="113" s="1"/>
  <c r="AH24" i="113"/>
  <c r="AH43" i="113" s="1"/>
  <c r="AH63" i="113" s="1"/>
  <c r="AI24" i="113"/>
  <c r="AI43" i="113" s="1"/>
  <c r="AI63" i="113" s="1"/>
  <c r="AK24" i="113"/>
  <c r="AK43" i="113" s="1"/>
  <c r="AK63" i="113" s="1"/>
  <c r="J24" i="113"/>
  <c r="J43" i="113" s="1"/>
  <c r="J63" i="113" s="1"/>
  <c r="AU24" i="113"/>
  <c r="AU43" i="113" s="1"/>
  <c r="AU63" i="113" s="1"/>
  <c r="Q24" i="113"/>
  <c r="Q43" i="113" s="1"/>
  <c r="Q63" i="113" s="1"/>
  <c r="Z24" i="113"/>
  <c r="Z43" i="113" s="1"/>
  <c r="Z63" i="113" s="1"/>
  <c r="AJ24" i="113"/>
  <c r="AJ43" i="113" s="1"/>
  <c r="AJ63" i="113" s="1"/>
  <c r="AB24" i="113"/>
  <c r="AB43" i="113" s="1"/>
  <c r="AB63" i="113" s="1"/>
  <c r="AK77" i="113"/>
  <c r="AX77" i="113"/>
  <c r="Y57" i="113"/>
  <c r="AW57" i="113"/>
  <c r="J55" i="113"/>
  <c r="J75" i="113"/>
  <c r="I55" i="113"/>
  <c r="I75" i="113"/>
  <c r="G55" i="113"/>
  <c r="G75" i="113"/>
  <c r="D55" i="113"/>
  <c r="D75" i="113"/>
  <c r="P55" i="113"/>
  <c r="P75" i="113"/>
  <c r="M55" i="113"/>
  <c r="M75" i="113"/>
  <c r="E55" i="113"/>
  <c r="E75" i="113"/>
  <c r="AP57" i="113"/>
  <c r="AR77" i="113"/>
  <c r="AG57" i="113"/>
  <c r="H55" i="113"/>
  <c r="H75" i="113"/>
  <c r="F55" i="113"/>
  <c r="F75" i="113"/>
  <c r="Q55" i="113"/>
  <c r="Q75" i="113"/>
  <c r="N55" i="113"/>
  <c r="N75" i="113"/>
  <c r="K55" i="113"/>
  <c r="K75" i="113"/>
  <c r="O55" i="113"/>
  <c r="O75" i="113"/>
  <c r="AZ57" i="113"/>
  <c r="L55" i="113"/>
  <c r="L75" i="113"/>
  <c r="C55" i="113"/>
  <c r="C75" i="113"/>
  <c r="J84" i="113"/>
  <c r="C84" i="113"/>
  <c r="Q84" i="113"/>
  <c r="K84" i="113"/>
  <c r="I84" i="113"/>
  <c r="D84" i="113"/>
  <c r="L84" i="113"/>
  <c r="H84" i="113"/>
  <c r="E84" i="113"/>
  <c r="M84" i="113"/>
  <c r="F84" i="113"/>
  <c r="N84" i="113"/>
  <c r="P84" i="113"/>
  <c r="G84" i="113"/>
  <c r="O84" i="113"/>
  <c r="F57" i="113"/>
  <c r="BP15" i="113"/>
  <c r="BN10" i="113"/>
  <c r="AC77" i="113"/>
  <c r="AU57" i="113"/>
  <c r="AQ77" i="113"/>
  <c r="AH57" i="113"/>
  <c r="R57" i="113"/>
  <c r="N57" i="113"/>
  <c r="X57" i="113"/>
  <c r="AO77" i="113"/>
  <c r="BC77" i="113"/>
  <c r="AD57" i="113"/>
  <c r="AF57" i="113"/>
  <c r="AJ57" i="113"/>
  <c r="AV77" i="113"/>
  <c r="AM57" i="113"/>
  <c r="AT57" i="113"/>
  <c r="W57" i="113"/>
  <c r="U57" i="113"/>
  <c r="AB77" i="113"/>
  <c r="K57" i="113"/>
  <c r="AI77" i="113"/>
  <c r="V57" i="113"/>
  <c r="Q57" i="113"/>
  <c r="T57" i="113"/>
  <c r="AL57" i="113"/>
  <c r="H57" i="113"/>
  <c r="AN57" i="113"/>
  <c r="AE77" i="113"/>
  <c r="D57" i="113"/>
  <c r="Z57" i="113"/>
  <c r="S77" i="113"/>
  <c r="BA57" i="113"/>
  <c r="AS57" i="113"/>
  <c r="BB57" i="113"/>
  <c r="J57" i="113"/>
  <c r="AY77" i="113"/>
  <c r="BU11" i="113"/>
  <c r="BP24" i="113"/>
  <c r="L3" i="111" l="1"/>
  <c r="M21" i="111"/>
  <c r="J21" i="111"/>
  <c r="I27" i="111"/>
  <c r="I25" i="111"/>
  <c r="I29" i="111" s="1"/>
  <c r="C3" i="65" s="1"/>
  <c r="BP22" i="113"/>
  <c r="BU7" i="113"/>
  <c r="BU8" i="113" s="1"/>
  <c r="BT8" i="113" s="1"/>
  <c r="BN8" i="113" s="1"/>
  <c r="BO8" i="113" s="1"/>
  <c r="BN7" i="113"/>
  <c r="BO7" i="113" s="1"/>
  <c r="C83" i="113" s="1"/>
  <c r="L11" i="111"/>
  <c r="L13" i="111"/>
  <c r="C95" i="113"/>
  <c r="BO10" i="113"/>
  <c r="AL75" i="113" s="1"/>
  <c r="BV13" i="113"/>
  <c r="BV10" i="113"/>
  <c r="BV7" i="113"/>
  <c r="BT11" i="113"/>
  <c r="BN11" i="113" s="1"/>
  <c r="K22" i="111"/>
  <c r="L21" i="111" l="1"/>
  <c r="E8" i="65"/>
  <c r="BC74" i="113"/>
  <c r="AM74" i="113"/>
  <c r="S74" i="113"/>
  <c r="F83" i="113"/>
  <c r="AY83" i="113"/>
  <c r="D83" i="113"/>
  <c r="AU83" i="113"/>
  <c r="Q83" i="113"/>
  <c r="AS83" i="113"/>
  <c r="BB83" i="113"/>
  <c r="R83" i="113"/>
  <c r="AI83" i="113"/>
  <c r="AR83" i="113"/>
  <c r="BB74" i="113"/>
  <c r="G83" i="113"/>
  <c r="AS74" i="113"/>
  <c r="R74" i="113"/>
  <c r="AY74" i="113"/>
  <c r="AE74" i="113"/>
  <c r="AJ74" i="113"/>
  <c r="AJ83" i="113"/>
  <c r="L74" i="113"/>
  <c r="AL83" i="113"/>
  <c r="AA74" i="113"/>
  <c r="AD83" i="113"/>
  <c r="M74" i="113"/>
  <c r="AB74" i="113"/>
  <c r="V83" i="113"/>
  <c r="AT83" i="113"/>
  <c r="K74" i="113"/>
  <c r="Z83" i="113"/>
  <c r="AI74" i="113"/>
  <c r="AZ74" i="113"/>
  <c r="P74" i="113"/>
  <c r="AA83" i="113"/>
  <c r="AK83" i="113"/>
  <c r="AM83" i="113"/>
  <c r="AV74" i="113"/>
  <c r="D74" i="113"/>
  <c r="X83" i="113"/>
  <c r="AX83" i="113"/>
  <c r="BA83" i="113"/>
  <c r="N74" i="113"/>
  <c r="Y74" i="113"/>
  <c r="AO74" i="113"/>
  <c r="Y83" i="113"/>
  <c r="BA74" i="113"/>
  <c r="C74" i="113"/>
  <c r="AG74" i="113"/>
  <c r="AG83" i="113"/>
  <c r="AB83" i="113"/>
  <c r="X74" i="113"/>
  <c r="G74" i="113"/>
  <c r="K83" i="113"/>
  <c r="AP83" i="113"/>
  <c r="AH83" i="113"/>
  <c r="AF83" i="113"/>
  <c r="F74" i="113"/>
  <c r="I83" i="113"/>
  <c r="AQ74" i="113"/>
  <c r="AQ83" i="113"/>
  <c r="AC83" i="113"/>
  <c r="BC83" i="113"/>
  <c r="O74" i="113"/>
  <c r="AW83" i="113"/>
  <c r="AX74" i="113"/>
  <c r="V74" i="113"/>
  <c r="J74" i="113"/>
  <c r="AN83" i="113"/>
  <c r="T83" i="113"/>
  <c r="AH74" i="113"/>
  <c r="AV83" i="113"/>
  <c r="H74" i="113"/>
  <c r="AO83" i="113"/>
  <c r="Z74" i="113"/>
  <c r="U83" i="113"/>
  <c r="AF74" i="113"/>
  <c r="O83" i="113"/>
  <c r="AW74" i="113"/>
  <c r="AC74" i="113"/>
  <c r="AR74" i="113"/>
  <c r="AL74" i="113"/>
  <c r="M83" i="113"/>
  <c r="E83" i="113"/>
  <c r="AZ83" i="113"/>
  <c r="AP74" i="113"/>
  <c r="W74" i="113"/>
  <c r="J83" i="113"/>
  <c r="L83" i="113"/>
  <c r="AK74" i="113"/>
  <c r="S83" i="113"/>
  <c r="U74" i="113"/>
  <c r="AD74" i="113"/>
  <c r="E74" i="113"/>
  <c r="P83" i="113"/>
  <c r="T74" i="113"/>
  <c r="AN74" i="113"/>
  <c r="AU74" i="113"/>
  <c r="Q74" i="113"/>
  <c r="H83" i="113"/>
  <c r="W83" i="113"/>
  <c r="AT74" i="113"/>
  <c r="AE83" i="113"/>
  <c r="I74" i="113"/>
  <c r="N83" i="113"/>
  <c r="DE21" i="111"/>
  <c r="AQ75" i="113"/>
  <c r="BV14" i="113"/>
  <c r="AI75" i="113"/>
  <c r="BA75" i="113"/>
  <c r="AX84" i="113"/>
  <c r="X84" i="113"/>
  <c r="BB75" i="113"/>
  <c r="AF84" i="113"/>
  <c r="T75" i="113"/>
  <c r="AN75" i="113"/>
  <c r="AV84" i="113"/>
  <c r="AB84" i="113"/>
  <c r="R75" i="113"/>
  <c r="AH84" i="113"/>
  <c r="AV75" i="113"/>
  <c r="AT75" i="113"/>
  <c r="T84" i="113"/>
  <c r="BC84" i="113"/>
  <c r="AM84" i="113"/>
  <c r="BA84" i="113"/>
  <c r="BB84" i="113"/>
  <c r="AK84" i="113"/>
  <c r="Z84" i="113"/>
  <c r="AU84" i="113"/>
  <c r="AA75" i="113"/>
  <c r="AS84" i="113"/>
  <c r="S84" i="113"/>
  <c r="AF75" i="113"/>
  <c r="AP84" i="113"/>
  <c r="AR84" i="113"/>
  <c r="AJ84" i="113"/>
  <c r="AN84" i="113"/>
  <c r="AG84" i="113"/>
  <c r="Y75" i="113"/>
  <c r="AY75" i="113"/>
  <c r="AE84" i="113"/>
  <c r="AH75" i="113"/>
  <c r="Y84" i="113"/>
  <c r="AD84" i="113"/>
  <c r="W75" i="113"/>
  <c r="AZ84" i="113"/>
  <c r="AL84" i="113"/>
  <c r="AQ84" i="113"/>
  <c r="AW84" i="113"/>
  <c r="AB75" i="113"/>
  <c r="AK75" i="113"/>
  <c r="AO75" i="113"/>
  <c r="AA84" i="113"/>
  <c r="AC84" i="113"/>
  <c r="Z75" i="113"/>
  <c r="AT84" i="113"/>
  <c r="AX75" i="113"/>
  <c r="AM75" i="113"/>
  <c r="AG75" i="113"/>
  <c r="AW75" i="113"/>
  <c r="R84" i="113"/>
  <c r="AD75" i="113"/>
  <c r="AJ75" i="113"/>
  <c r="W84" i="113"/>
  <c r="AY84" i="113"/>
  <c r="AI84" i="113"/>
  <c r="U84" i="113"/>
  <c r="S75" i="113"/>
  <c r="AC75" i="113"/>
  <c r="V75" i="113"/>
  <c r="V84" i="113"/>
  <c r="AE75" i="113"/>
  <c r="BC75" i="113"/>
  <c r="X75" i="113"/>
  <c r="AP75" i="113"/>
  <c r="AU75" i="113"/>
  <c r="AO84" i="113"/>
  <c r="AR75" i="113"/>
  <c r="AZ75" i="113"/>
  <c r="U75" i="113"/>
  <c r="AS75" i="113"/>
  <c r="BO11" i="113"/>
  <c r="BK25" i="113"/>
  <c r="N4" i="111"/>
  <c r="DI4" i="111" l="1"/>
  <c r="N8" i="111"/>
  <c r="N9" i="111"/>
  <c r="N10" i="111"/>
  <c r="N7" i="111"/>
  <c r="N5" i="111"/>
  <c r="N14" i="111"/>
  <c r="N15" i="111"/>
  <c r="N16" i="111"/>
  <c r="N18" i="111"/>
  <c r="N20" i="111"/>
  <c r="N11" i="111"/>
  <c r="N12" i="111"/>
  <c r="N13" i="111"/>
  <c r="N17" i="111"/>
  <c r="N19" i="111"/>
  <c r="N6" i="111"/>
  <c r="AP4" i="65"/>
  <c r="E10" i="65"/>
  <c r="E7" i="65"/>
  <c r="BP7" i="113"/>
  <c r="BP8" i="113"/>
  <c r="C94" i="113"/>
  <c r="BP11" i="113"/>
  <c r="BP10" i="113"/>
  <c r="BV8" i="113"/>
  <c r="BV11" i="113"/>
  <c r="M22" i="111"/>
  <c r="N3" i="111"/>
  <c r="N21" i="111" l="1"/>
  <c r="DI6" i="111"/>
  <c r="DI7" i="111"/>
  <c r="DI10" i="111"/>
  <c r="DI9" i="111"/>
  <c r="DI8" i="111"/>
  <c r="C22" i="111"/>
  <c r="N22" i="111"/>
  <c r="E9" i="65"/>
  <c r="BP25" i="113"/>
  <c r="DI14" i="111"/>
  <c r="DI17" i="111"/>
  <c r="DI20" i="111"/>
  <c r="DI15" i="111"/>
  <c r="DI5" i="111"/>
  <c r="DI13" i="111"/>
  <c r="DI19" i="111"/>
  <c r="DI16" i="111"/>
  <c r="DI12" i="111"/>
  <c r="DI11" i="111"/>
  <c r="DI18" i="111"/>
  <c r="B5" i="29" l="1"/>
  <c r="C7" i="65" s="1"/>
  <c r="C12" i="65" s="1"/>
  <c r="H17" i="65" s="1"/>
  <c r="H15" i="65" s="1"/>
  <c r="F34" i="101" l="1"/>
  <c r="H34" i="101" s="1"/>
  <c r="C3" i="101" l="1"/>
  <c r="P31" i="65"/>
  <c r="P32" i="65" s="1"/>
  <c r="AI31" i="65"/>
  <c r="AI25" i="65"/>
  <c r="AI24" i="65"/>
  <c r="AD31" i="65"/>
  <c r="AE31" i="65"/>
  <c r="AF31" i="65"/>
  <c r="AG31" i="65"/>
  <c r="AH31" i="65"/>
  <c r="AC31" i="65"/>
  <c r="AC24" i="65"/>
  <c r="AD24" i="65"/>
  <c r="AE24" i="65"/>
  <c r="AF24" i="65"/>
  <c r="AG24" i="65"/>
  <c r="AH24" i="65"/>
  <c r="AH25" i="65"/>
  <c r="G3" i="101" l="1"/>
  <c r="AH32" i="65"/>
  <c r="AG32" i="65"/>
  <c r="AG3" i="65"/>
  <c r="S11" i="65"/>
  <c r="S26" i="65"/>
  <c r="F37" i="101"/>
  <c r="F38" i="101"/>
  <c r="N23" i="65" l="1"/>
  <c r="D3" i="101"/>
  <c r="I28" i="65"/>
  <c r="I26" i="65"/>
  <c r="I29" i="65"/>
  <c r="F21" i="65"/>
  <c r="F18" i="65"/>
  <c r="E32" i="103"/>
  <c r="G27" i="65"/>
  <c r="AH10" i="65" l="1"/>
  <c r="AB4" i="65"/>
  <c r="AB12" i="65"/>
  <c r="AI28" i="65" l="1"/>
  <c r="F29" i="101" l="1"/>
  <c r="B29" i="101"/>
  <c r="I39" i="101"/>
  <c r="J34" i="101" l="1"/>
  <c r="K34" i="101" s="1"/>
  <c r="B50" i="24"/>
  <c r="N22" i="65"/>
  <c r="AH3" i="65" s="1"/>
  <c r="G38" i="101"/>
  <c r="H38" i="101"/>
  <c r="J38" i="101" s="1"/>
  <c r="C38" i="101"/>
  <c r="G37" i="101"/>
  <c r="H37" i="101"/>
  <c r="J37" i="101" s="1"/>
  <c r="C37" i="101"/>
  <c r="C34" i="101"/>
  <c r="G29" i="101"/>
  <c r="D29" i="101"/>
  <c r="C29" i="101"/>
  <c r="D26" i="101"/>
  <c r="D25" i="101"/>
  <c r="D24" i="101"/>
  <c r="D23" i="101"/>
  <c r="D22" i="101"/>
  <c r="D21" i="101"/>
  <c r="D20" i="101"/>
  <c r="D19" i="101"/>
  <c r="G18" i="101"/>
  <c r="D18" i="101" s="1"/>
  <c r="D17" i="101"/>
  <c r="D16" i="101"/>
  <c r="D15" i="101"/>
  <c r="D14" i="101"/>
  <c r="D13" i="101"/>
  <c r="D12" i="101"/>
  <c r="D11" i="101"/>
  <c r="D10" i="101"/>
  <c r="D9" i="101"/>
  <c r="D8" i="101"/>
  <c r="D7" i="101"/>
  <c r="D6" i="101"/>
  <c r="C6" i="101" s="1"/>
  <c r="H27" i="65" l="1"/>
  <c r="C8" i="101"/>
  <c r="G5" i="101"/>
  <c r="G30" i="101" s="1"/>
  <c r="C13" i="101"/>
  <c r="C18" i="101"/>
  <c r="C7" i="101"/>
  <c r="D5" i="101"/>
  <c r="C5" i="101" l="1"/>
  <c r="K26" i="65"/>
  <c r="DU21" i="111"/>
  <c r="DU4" i="111" s="1"/>
  <c r="I27" i="65"/>
  <c r="DU13" i="111" l="1"/>
  <c r="DU14" i="111"/>
  <c r="DU12" i="111"/>
  <c r="DU11" i="111"/>
  <c r="DU10" i="111"/>
  <c r="DU9" i="111"/>
  <c r="DU8" i="111"/>
  <c r="DU7" i="111"/>
  <c r="DU6" i="111"/>
  <c r="DU16" i="111"/>
  <c r="DU17" i="111"/>
  <c r="DU19" i="111"/>
  <c r="DU3" i="111"/>
  <c r="DU20" i="111"/>
  <c r="DU15" i="111"/>
  <c r="DU18" i="111"/>
  <c r="DU5" i="111"/>
  <c r="H31" i="101"/>
  <c r="H30" i="101"/>
  <c r="J30" i="101" s="1"/>
  <c r="G31" i="101" l="1"/>
  <c r="K30" i="101"/>
  <c r="C13" i="65"/>
  <c r="J31" i="101" l="1"/>
  <c r="G32" i="101"/>
  <c r="H32" i="101"/>
  <c r="J32" i="101" s="1"/>
  <c r="K31" i="101" l="1"/>
  <c r="C8" i="65"/>
  <c r="G39" i="101"/>
  <c r="B35" i="24" l="1"/>
  <c r="W8" i="65" l="1"/>
  <c r="U17" i="65"/>
  <c r="W9" i="65" l="1"/>
  <c r="U22" i="65"/>
  <c r="G55" i="65"/>
  <c r="G54" i="65"/>
  <c r="H49" i="65"/>
  <c r="F21" i="1" l="1"/>
  <c r="G21" i="1" s="1"/>
  <c r="F20" i="1"/>
  <c r="G20" i="1" s="1"/>
  <c r="F19" i="1"/>
  <c r="F37" i="1" s="1"/>
  <c r="F16" i="1"/>
  <c r="F10" i="1"/>
  <c r="F30" i="1" s="1"/>
  <c r="F9" i="1"/>
  <c r="F8" i="1"/>
  <c r="F7" i="1"/>
  <c r="F6" i="1"/>
  <c r="F15" i="1"/>
  <c r="G15" i="1" s="1"/>
  <c r="F18" i="1"/>
  <c r="G18" i="1" s="1"/>
  <c r="F14" i="1"/>
  <c r="G14" i="1" s="1"/>
  <c r="F13" i="1"/>
  <c r="F31" i="1" s="1"/>
  <c r="G39" i="65" l="1"/>
  <c r="F34" i="1"/>
  <c r="G34" i="1" s="1"/>
  <c r="F38" i="1"/>
  <c r="G38" i="1" s="1"/>
  <c r="F39" i="1"/>
  <c r="G39" i="1" s="1"/>
  <c r="F36" i="1"/>
  <c r="G36" i="1" s="1"/>
  <c r="F33" i="1"/>
  <c r="G16" i="1"/>
  <c r="F32" i="1"/>
  <c r="G171" i="98" l="1"/>
  <c r="G170" i="98"/>
  <c r="G169" i="98"/>
  <c r="C173" i="98"/>
  <c r="D121" i="98"/>
  <c r="C19" i="29"/>
  <c r="C15" i="29"/>
  <c r="F15" i="29" s="1"/>
  <c r="C10" i="29"/>
  <c r="AC4" i="98"/>
  <c r="N18" i="65" s="1"/>
  <c r="Q5" i="98"/>
  <c r="F3" i="1"/>
  <c r="F23" i="1" s="1"/>
  <c r="N10" i="98"/>
  <c r="N12" i="98"/>
  <c r="N13" i="98"/>
  <c r="N2" i="98"/>
  <c r="M11" i="98"/>
  <c r="L11" i="98"/>
  <c r="K11" i="98"/>
  <c r="J11" i="98"/>
  <c r="I11" i="98"/>
  <c r="H11" i="98"/>
  <c r="G11" i="98"/>
  <c r="F11" i="98"/>
  <c r="E11" i="98"/>
  <c r="D11" i="98"/>
  <c r="C11" i="98"/>
  <c r="B11" i="98"/>
  <c r="M9" i="98"/>
  <c r="L9" i="98"/>
  <c r="K9" i="98"/>
  <c r="J9" i="98"/>
  <c r="I9" i="98"/>
  <c r="H9" i="98"/>
  <c r="G9" i="98"/>
  <c r="F9" i="98"/>
  <c r="E9" i="98"/>
  <c r="D9" i="98"/>
  <c r="C9" i="98"/>
  <c r="B9" i="98"/>
  <c r="M6" i="98"/>
  <c r="M15" i="98" s="1"/>
  <c r="L6" i="98"/>
  <c r="L15" i="98" s="1"/>
  <c r="K6" i="98"/>
  <c r="K15" i="98" s="1"/>
  <c r="E6" i="98"/>
  <c r="E15" i="98" s="1"/>
  <c r="D6" i="98"/>
  <c r="D15" i="98" s="1"/>
  <c r="C6" i="98"/>
  <c r="C15" i="98" s="1"/>
  <c r="B6" i="98"/>
  <c r="B8" i="98" s="1"/>
  <c r="AB5" i="98"/>
  <c r="AA5" i="98"/>
  <c r="Z5" i="98"/>
  <c r="Y5" i="98"/>
  <c r="X5" i="98"/>
  <c r="W5" i="98"/>
  <c r="V5" i="98"/>
  <c r="U5" i="98"/>
  <c r="T5" i="98"/>
  <c r="S5" i="98"/>
  <c r="R5" i="98"/>
  <c r="J5" i="98"/>
  <c r="J14" i="98" s="1"/>
  <c r="I5" i="98"/>
  <c r="I14" i="98" s="1"/>
  <c r="H5" i="98"/>
  <c r="H14" i="98" s="1"/>
  <c r="G5" i="98"/>
  <c r="G14" i="98" s="1"/>
  <c r="F5" i="98"/>
  <c r="F14" i="98" s="1"/>
  <c r="J4" i="98"/>
  <c r="J6" i="98" s="1"/>
  <c r="J15" i="98" s="1"/>
  <c r="I4" i="98"/>
  <c r="I6" i="98" s="1"/>
  <c r="H4" i="98"/>
  <c r="H6" i="98" s="1"/>
  <c r="G4" i="98"/>
  <c r="G6" i="98" s="1"/>
  <c r="F4" i="98"/>
  <c r="F6" i="98" s="1"/>
  <c r="F15" i="98" s="1"/>
  <c r="M3" i="98"/>
  <c r="M5" i="98" s="1"/>
  <c r="L3" i="98"/>
  <c r="L5" i="98" s="1"/>
  <c r="K3" i="98"/>
  <c r="K5" i="98" s="1"/>
  <c r="E3" i="98"/>
  <c r="E5" i="98" s="1"/>
  <c r="D3" i="98"/>
  <c r="D5" i="98" s="1"/>
  <c r="C3" i="98"/>
  <c r="C5" i="98" s="1"/>
  <c r="B3" i="98"/>
  <c r="B5" i="98" s="1"/>
  <c r="B14" i="98" s="1"/>
  <c r="B186" i="98"/>
  <c r="C185" i="98" s="1"/>
  <c r="D185" i="98" s="1"/>
  <c r="D183" i="98"/>
  <c r="D171" i="98"/>
  <c r="B171" i="98"/>
  <c r="B170" i="98"/>
  <c r="D169" i="98"/>
  <c r="B169" i="98"/>
  <c r="C167" i="98"/>
  <c r="C166" i="98"/>
  <c r="C165" i="98"/>
  <c r="C164" i="98"/>
  <c r="C163" i="98"/>
  <c r="C162" i="98"/>
  <c r="C161" i="98"/>
  <c r="C160" i="98"/>
  <c r="C159" i="98"/>
  <c r="C158" i="98"/>
  <c r="C157" i="98"/>
  <c r="C156" i="98"/>
  <c r="C155" i="98"/>
  <c r="C154" i="98"/>
  <c r="C153" i="98"/>
  <c r="C152" i="98"/>
  <c r="C151" i="98"/>
  <c r="C150" i="98"/>
  <c r="C149" i="98"/>
  <c r="C148" i="98"/>
  <c r="B148" i="98" s="1"/>
  <c r="E147" i="98"/>
  <c r="C147" i="98"/>
  <c r="B147" i="98" s="1"/>
  <c r="C146" i="98"/>
  <c r="B146" i="98" s="1"/>
  <c r="D145" i="98"/>
  <c r="C144" i="98"/>
  <c r="C143" i="98"/>
  <c r="C142" i="98"/>
  <c r="C141" i="98"/>
  <c r="C140" i="98"/>
  <c r="C139" i="98"/>
  <c r="C138" i="98"/>
  <c r="C137" i="98"/>
  <c r="D136" i="98"/>
  <c r="B136" i="98"/>
  <c r="C135" i="98"/>
  <c r="C134" i="98"/>
  <c r="C133" i="98"/>
  <c r="C132" i="98"/>
  <c r="C131" i="98"/>
  <c r="C130" i="98"/>
  <c r="C129" i="98"/>
  <c r="C128" i="98"/>
  <c r="C127" i="98"/>
  <c r="C126" i="98"/>
  <c r="C125" i="98"/>
  <c r="C124" i="98"/>
  <c r="C123" i="98"/>
  <c r="C122" i="98"/>
  <c r="B121" i="98"/>
  <c r="C117" i="98"/>
  <c r="C116" i="98"/>
  <c r="C115" i="98"/>
  <c r="C114" i="98"/>
  <c r="C113" i="98"/>
  <c r="C112" i="98"/>
  <c r="C111" i="98"/>
  <c r="C110" i="98"/>
  <c r="C109" i="98"/>
  <c r="C108" i="98"/>
  <c r="C107" i="98"/>
  <c r="C106" i="98"/>
  <c r="D105" i="98"/>
  <c r="B105" i="98"/>
  <c r="C104" i="98"/>
  <c r="C103" i="98" s="1"/>
  <c r="D103" i="98"/>
  <c r="B103" i="98"/>
  <c r="C102" i="98"/>
  <c r="C101" i="98"/>
  <c r="D100" i="98"/>
  <c r="B100" i="98"/>
  <c r="C99" i="98"/>
  <c r="C98" i="98"/>
  <c r="D97" i="98"/>
  <c r="B97" i="98"/>
  <c r="C96" i="98"/>
  <c r="C95" i="98"/>
  <c r="D94" i="98"/>
  <c r="B94" i="98"/>
  <c r="C93" i="98"/>
  <c r="C92" i="98"/>
  <c r="D91" i="98"/>
  <c r="B91" i="98"/>
  <c r="C90" i="98"/>
  <c r="C89" i="98"/>
  <c r="C88" i="98"/>
  <c r="C87" i="98"/>
  <c r="C86" i="98"/>
  <c r="C85" i="98"/>
  <c r="C84" i="98"/>
  <c r="D83" i="98"/>
  <c r="B83" i="98"/>
  <c r="C82" i="98"/>
  <c r="C81" i="98"/>
  <c r="C80" i="98"/>
  <c r="C79" i="98"/>
  <c r="C78" i="98"/>
  <c r="C77" i="98"/>
  <c r="C76" i="98"/>
  <c r="C75" i="98"/>
  <c r="C74" i="98"/>
  <c r="D73" i="98"/>
  <c r="B73" i="98"/>
  <c r="C72" i="98"/>
  <c r="C71" i="98"/>
  <c r="C70" i="98"/>
  <c r="C69" i="98"/>
  <c r="C68" i="98"/>
  <c r="C67" i="98"/>
  <c r="C66" i="98"/>
  <c r="C65" i="98"/>
  <c r="C64" i="98"/>
  <c r="D63" i="98"/>
  <c r="B63" i="98"/>
  <c r="C62" i="98"/>
  <c r="C61" i="98"/>
  <c r="C60" i="98"/>
  <c r="C59" i="98"/>
  <c r="C58" i="98"/>
  <c r="C57" i="98"/>
  <c r="C56" i="98"/>
  <c r="C55" i="98"/>
  <c r="C54" i="98"/>
  <c r="C53" i="98"/>
  <c r="D52" i="98"/>
  <c r="B52" i="98"/>
  <c r="C51" i="98"/>
  <c r="C50" i="98"/>
  <c r="C49" i="98"/>
  <c r="C48" i="98"/>
  <c r="C47" i="98"/>
  <c r="C46" i="98"/>
  <c r="C45" i="98"/>
  <c r="C44" i="98"/>
  <c r="C43" i="98"/>
  <c r="C42" i="98"/>
  <c r="D41" i="98"/>
  <c r="B41" i="98"/>
  <c r="C40" i="98"/>
  <c r="C39" i="98"/>
  <c r="C38" i="98"/>
  <c r="C37" i="98"/>
  <c r="C36" i="98"/>
  <c r="C35" i="98"/>
  <c r="C34" i="98"/>
  <c r="C33" i="98"/>
  <c r="D32" i="98"/>
  <c r="B32" i="98"/>
  <c r="C31" i="98"/>
  <c r="D30" i="98"/>
  <c r="D25" i="98" s="1"/>
  <c r="C30" i="98"/>
  <c r="C29" i="98"/>
  <c r="C28" i="98"/>
  <c r="C27" i="98"/>
  <c r="C26" i="98"/>
  <c r="B25" i="98"/>
  <c r="C24" i="98"/>
  <c r="D23" i="98"/>
  <c r="D18" i="98" s="1"/>
  <c r="C23" i="98"/>
  <c r="C22" i="98"/>
  <c r="C21" i="98"/>
  <c r="C20" i="98"/>
  <c r="C19" i="98"/>
  <c r="B18" i="98"/>
  <c r="C121" i="98" l="1"/>
  <c r="G121" i="98" s="1"/>
  <c r="C18" i="98"/>
  <c r="D119" i="98"/>
  <c r="N9" i="98"/>
  <c r="N5" i="98"/>
  <c r="N11" i="98"/>
  <c r="C94" i="98"/>
  <c r="N6" i="98"/>
  <c r="N4" i="98"/>
  <c r="D173" i="98"/>
  <c r="N3" i="98"/>
  <c r="J7" i="98"/>
  <c r="G15" i="98"/>
  <c r="G8" i="98"/>
  <c r="C14" i="98"/>
  <c r="C7" i="98"/>
  <c r="D14" i="98"/>
  <c r="D7" i="98"/>
  <c r="I15" i="98"/>
  <c r="I8" i="98"/>
  <c r="E14" i="98"/>
  <c r="E7" i="98"/>
  <c r="L14" i="98"/>
  <c r="L7" i="98"/>
  <c r="M14" i="98"/>
  <c r="M7" i="98"/>
  <c r="B7" i="98"/>
  <c r="H15" i="98"/>
  <c r="H8" i="98"/>
  <c r="K7" i="98"/>
  <c r="K14" i="98"/>
  <c r="F8" i="98"/>
  <c r="J8" i="98"/>
  <c r="B15" i="98"/>
  <c r="G7" i="98"/>
  <c r="C8" i="98"/>
  <c r="K8" i="98"/>
  <c r="F7" i="98"/>
  <c r="H7" i="98"/>
  <c r="D8" i="98"/>
  <c r="L8" i="98"/>
  <c r="I7" i="98"/>
  <c r="E8" i="98"/>
  <c r="M8" i="98"/>
  <c r="B173" i="98"/>
  <c r="B119" i="98"/>
  <c r="C136" i="98"/>
  <c r="C63" i="98"/>
  <c r="C83" i="98"/>
  <c r="C91" i="98"/>
  <c r="C25" i="98"/>
  <c r="C52" i="98"/>
  <c r="C100" i="98"/>
  <c r="B145" i="98"/>
  <c r="C73" i="98"/>
  <c r="C32" i="98"/>
  <c r="C105" i="98"/>
  <c r="C145" i="98"/>
  <c r="C41" i="98"/>
  <c r="C97" i="98"/>
  <c r="D177" i="98" l="1"/>
  <c r="C181" i="98" s="1"/>
  <c r="N15" i="98"/>
  <c r="C172" i="98"/>
  <c r="G145" i="98"/>
  <c r="N8" i="98"/>
  <c r="N14" i="98"/>
  <c r="B4" i="29" s="1"/>
  <c r="N7" i="98"/>
  <c r="C119" i="98"/>
  <c r="B177" i="98"/>
  <c r="C4" i="29" l="1"/>
  <c r="C177" i="98"/>
  <c r="C188" i="98" s="1"/>
  <c r="E119" i="98"/>
  <c r="E171" i="98" l="1"/>
  <c r="E169" i="98"/>
  <c r="AF32" i="65"/>
  <c r="AD32" i="65"/>
  <c r="AA31" i="65"/>
  <c r="AA29" i="65"/>
  <c r="AA28" i="65"/>
  <c r="AA27" i="65"/>
  <c r="AA25" i="65"/>
  <c r="AA24" i="65"/>
  <c r="AA22" i="65"/>
  <c r="AA21" i="65"/>
  <c r="AA20" i="65"/>
  <c r="AJ15" i="65"/>
  <c r="AD10" i="65"/>
  <c r="AJ8" i="65"/>
  <c r="AF3" i="65"/>
  <c r="AJ31" i="65" l="1"/>
  <c r="AJ24" i="65"/>
  <c r="I48" i="1" l="1"/>
  <c r="I47" i="1"/>
  <c r="J43" i="1"/>
  <c r="J30" i="1"/>
  <c r="J29" i="1"/>
  <c r="J28" i="1"/>
  <c r="J27" i="1"/>
  <c r="J26" i="1"/>
  <c r="J25" i="1"/>
  <c r="J24" i="1"/>
  <c r="K37" i="1"/>
  <c r="J37" i="1"/>
  <c r="H37" i="1"/>
  <c r="E37" i="1"/>
  <c r="G13" i="1" l="1"/>
  <c r="F16" i="29" l="1"/>
  <c r="N38" i="65" l="1"/>
  <c r="AS9" i="65"/>
  <c r="AD3" i="65"/>
  <c r="U18" i="65"/>
  <c r="FT26" i="24" a="1"/>
  <c r="FT26" i="24" s="1"/>
  <c r="F74" i="65" l="1"/>
  <c r="G74" i="65"/>
  <c r="G76" i="65"/>
  <c r="F76" i="65"/>
  <c r="G42" i="65"/>
  <c r="G44" i="65"/>
  <c r="F44" i="65"/>
  <c r="F42" i="65"/>
  <c r="G60" i="65"/>
  <c r="F58" i="65"/>
  <c r="G58" i="65"/>
  <c r="F60" i="65"/>
  <c r="N8" i="65"/>
  <c r="S8" i="65"/>
  <c r="W19" i="65"/>
  <c r="AB5" i="65" l="1"/>
  <c r="AB6" i="65"/>
  <c r="AB14" i="65"/>
  <c r="AI30" i="65" s="1"/>
  <c r="AB7" i="65"/>
  <c r="AB11" i="65"/>
  <c r="AI27" i="65" s="1"/>
  <c r="AB13" i="65"/>
  <c r="AI29" i="65" s="1"/>
  <c r="AI26" i="65" l="1"/>
  <c r="AC16" i="65" l="1"/>
  <c r="AC32" i="65" s="1"/>
  <c r="C5" i="29" l="1"/>
  <c r="C7" i="29" l="1"/>
  <c r="C6" i="29"/>
  <c r="C48" i="53" l="1"/>
  <c r="G13" i="53"/>
  <c r="G12" i="53"/>
  <c r="G11" i="53"/>
  <c r="CK4" i="111" s="1"/>
  <c r="CM4" i="111" s="1"/>
  <c r="CU4" i="111" s="1"/>
  <c r="CK3" i="111" l="1"/>
  <c r="CM3" i="111" s="1"/>
  <c r="CU3" i="111" s="1"/>
  <c r="CK5" i="111"/>
  <c r="CM5" i="111" s="1"/>
  <c r="CU5" i="111" s="1"/>
  <c r="CU21" i="111" l="1"/>
  <c r="C11" i="29" l="1"/>
  <c r="F11" i="29" s="1"/>
  <c r="F10" i="29"/>
  <c r="G3" i="1"/>
  <c r="B7" i="29"/>
  <c r="H18" i="65" l="1"/>
  <c r="H20" i="65"/>
  <c r="H19" i="65"/>
  <c r="H21" i="65"/>
  <c r="AC3" i="65"/>
  <c r="B6" i="24"/>
  <c r="B44" i="24"/>
  <c r="B45" i="24" s="1"/>
  <c r="B42" i="24"/>
  <c r="B43" i="24" s="1"/>
  <c r="B40" i="24"/>
  <c r="B41" i="24" s="1"/>
  <c r="B23" i="24"/>
  <c r="B21" i="24"/>
  <c r="B16" i="24"/>
  <c r="B14" i="24"/>
  <c r="B26" i="24" s="1"/>
  <c r="E11" i="65" l="1"/>
  <c r="E12" i="65" s="1"/>
  <c r="H13" i="65"/>
  <c r="H11" i="65" s="1"/>
  <c r="DI21" i="111"/>
  <c r="K18" i="65"/>
  <c r="I15" i="65"/>
  <c r="I20" i="65"/>
  <c r="I21" i="65"/>
  <c r="U19" i="65"/>
  <c r="I19" i="65"/>
  <c r="I18" i="65"/>
  <c r="H16" i="65"/>
  <c r="E15" i="65" s="1"/>
  <c r="B29" i="24"/>
  <c r="B55" i="24" s="1"/>
  <c r="AC4" i="65"/>
  <c r="B38" i="24"/>
  <c r="E9" i="24"/>
  <c r="B8" i="24"/>
  <c r="B10" i="24"/>
  <c r="B24" i="24" l="1"/>
  <c r="EX21" i="111" s="1"/>
  <c r="EY21" i="111" s="1"/>
  <c r="FA21" i="111" s="1"/>
  <c r="FC21" i="111" s="1"/>
  <c r="FD21" i="111" s="1"/>
  <c r="FD4" i="111" s="1"/>
  <c r="B5" i="24"/>
  <c r="AD4" i="65"/>
  <c r="AD20" i="65" s="1"/>
  <c r="AC20" i="65"/>
  <c r="I24" i="65"/>
  <c r="B17" i="24"/>
  <c r="B30" i="24" s="1"/>
  <c r="B15" i="24"/>
  <c r="B27" i="24" s="1"/>
  <c r="B22" i="24"/>
  <c r="FD7" i="111" l="1"/>
  <c r="FD8" i="111"/>
  <c r="FD5" i="111"/>
  <c r="FD6" i="111"/>
  <c r="FD9" i="111"/>
  <c r="FE21" i="111"/>
  <c r="FD3" i="111"/>
  <c r="L5" i="116"/>
  <c r="AY5" i="65"/>
  <c r="FD20" i="111"/>
  <c r="FD18" i="111"/>
  <c r="FD17" i="111"/>
  <c r="FD10" i="111"/>
  <c r="FD16" i="111"/>
  <c r="FD15" i="111"/>
  <c r="FD14" i="111"/>
  <c r="FD11" i="111"/>
  <c r="FD13" i="111"/>
  <c r="FD19" i="111"/>
  <c r="FD12" i="111"/>
  <c r="L4" i="116" l="1"/>
  <c r="L6" i="116" s="1"/>
  <c r="AY4" i="65"/>
  <c r="AY6" i="65" s="1"/>
  <c r="F12" i="1"/>
  <c r="G33" i="1" s="1"/>
  <c r="G7" i="1"/>
  <c r="G12" i="1" l="1"/>
  <c r="G31" i="1"/>
  <c r="I107" i="1" l="1"/>
  <c r="F91" i="1"/>
  <c r="C104" i="1" s="1"/>
  <c r="I101" i="1" s="1"/>
  <c r="E104" i="1"/>
  <c r="F104" i="1"/>
  <c r="F5" i="1"/>
  <c r="U21" i="65" l="1"/>
  <c r="G5" i="1"/>
  <c r="F25" i="1"/>
  <c r="H14" i="65" l="1"/>
  <c r="U20" i="65"/>
  <c r="H12" i="65" l="1"/>
  <c r="AC10" i="65" l="1"/>
  <c r="F103" i="1" l="1"/>
  <c r="E103" i="1"/>
  <c r="E102" i="1"/>
  <c r="F102" i="1"/>
  <c r="E101" i="1"/>
  <c r="F101" i="1"/>
  <c r="F100" i="1"/>
  <c r="F99" i="1"/>
  <c r="F98" i="1"/>
  <c r="F97" i="1"/>
  <c r="E100" i="1"/>
  <c r="E99" i="1"/>
  <c r="E98" i="1"/>
  <c r="E97" i="1"/>
  <c r="K98" i="1"/>
  <c r="F41" i="1"/>
  <c r="F56" i="1" s="1"/>
  <c r="F62" i="1" s="1"/>
  <c r="B99" i="1" s="1"/>
  <c r="D99" i="1" s="1"/>
  <c r="F52" i="1"/>
  <c r="C97" i="1" s="1"/>
  <c r="F80" i="1" l="1"/>
  <c r="B102" i="1" s="1"/>
  <c r="D102" i="1" s="1"/>
  <c r="F74" i="1"/>
  <c r="F86" i="1" s="1"/>
  <c r="F92" i="1" s="1"/>
  <c r="F73" i="1"/>
  <c r="C101" i="1" s="1"/>
  <c r="F43" i="1"/>
  <c r="B98" i="1"/>
  <c r="D98" i="1" s="1"/>
  <c r="F90" i="1" l="1"/>
  <c r="B104" i="1" s="1"/>
  <c r="D104" i="1" s="1"/>
  <c r="G23" i="1"/>
  <c r="F11" i="1"/>
  <c r="G6" i="1"/>
  <c r="F4" i="1"/>
  <c r="F24" i="1" s="1"/>
  <c r="F51" i="1"/>
  <c r="G11" i="1" l="1"/>
  <c r="G32" i="1"/>
  <c r="F28" i="1"/>
  <c r="G28" i="1" s="1"/>
  <c r="G8" i="1"/>
  <c r="N6" i="1" s="1"/>
  <c r="G30" i="1"/>
  <c r="G10" i="1"/>
  <c r="F29" i="1"/>
  <c r="G29" i="1" s="1"/>
  <c r="G9" i="1"/>
  <c r="G24" i="1"/>
  <c r="G4" i="1"/>
  <c r="F27" i="1"/>
  <c r="F26" i="1"/>
  <c r="G26" i="1" s="1"/>
  <c r="F79" i="1"/>
  <c r="F78" i="1"/>
  <c r="B97" i="1"/>
  <c r="D97" i="1" s="1"/>
  <c r="F72" i="1"/>
  <c r="B101" i="1" s="1"/>
  <c r="D101" i="1" s="1"/>
  <c r="F63" i="1"/>
  <c r="C99" i="1" s="1"/>
  <c r="G25" i="1"/>
  <c r="F58" i="1"/>
  <c r="F57" i="1"/>
  <c r="G37" i="1" l="1"/>
  <c r="G19" i="1"/>
  <c r="F67" i="1"/>
  <c r="B100" i="1" s="1"/>
  <c r="D100" i="1" s="1"/>
  <c r="G27" i="1"/>
  <c r="F68" i="1"/>
  <c r="C102" i="1"/>
  <c r="C98" i="1"/>
  <c r="F85" i="1"/>
  <c r="F84" i="1"/>
  <c r="B103" i="1" l="1"/>
  <c r="D103" i="1" s="1"/>
  <c r="AG10" i="65" l="1"/>
  <c r="AF10" i="65" l="1"/>
  <c r="AE10" i="65" l="1"/>
  <c r="N33" i="65"/>
  <c r="N34" i="65" s="1"/>
  <c r="D4" i="65" s="1"/>
  <c r="AJ10" i="65" l="1"/>
  <c r="H71" i="65"/>
  <c r="H55" i="65"/>
  <c r="H39" i="65"/>
  <c r="H37" i="65" s="1"/>
  <c r="F39" i="101"/>
  <c r="D39" i="101"/>
  <c r="H34" i="65" l="1"/>
  <c r="H35" i="65" s="1"/>
  <c r="H36" i="65"/>
  <c r="I36" i="65" s="1"/>
  <c r="AK10" i="65"/>
  <c r="H56" i="65"/>
  <c r="G53" i="65" s="1"/>
  <c r="H53" i="65"/>
  <c r="H69" i="65"/>
  <c r="H66" i="65" s="1"/>
  <c r="H72" i="65"/>
  <c r="H40" i="65"/>
  <c r="AC11" i="65"/>
  <c r="H39" i="101"/>
  <c r="N36" i="65"/>
  <c r="K9" i="65" l="1"/>
  <c r="H50" i="65"/>
  <c r="H51" i="65" s="1"/>
  <c r="FV33" i="111"/>
  <c r="AC27" i="65"/>
  <c r="H52" i="65"/>
  <c r="H67" i="65"/>
  <c r="H68" i="65"/>
  <c r="I68" i="65" s="1"/>
  <c r="H70" i="65"/>
  <c r="H73" i="65" s="1"/>
  <c r="H38" i="65"/>
  <c r="H42" i="65" s="1"/>
  <c r="I72" i="65"/>
  <c r="G69" i="65"/>
  <c r="G37" i="65"/>
  <c r="I40" i="65"/>
  <c r="I56" i="65"/>
  <c r="AD11" i="65"/>
  <c r="AC12" i="65"/>
  <c r="AC13" i="65" s="1" a="1"/>
  <c r="AC13" i="65" s="1"/>
  <c r="J39" i="101"/>
  <c r="K39" i="101" s="1"/>
  <c r="H54" i="65"/>
  <c r="N13" i="65" l="1"/>
  <c r="O13" i="65" s="1"/>
  <c r="K7" i="65"/>
  <c r="N14" i="65"/>
  <c r="P9" i="65" s="1"/>
  <c r="I52" i="65"/>
  <c r="AC5" i="65"/>
  <c r="AC6" i="65" s="1" a="1"/>
  <c r="AC6" i="65" s="1"/>
  <c r="AC14" i="65" a="1"/>
  <c r="AC14" i="65" s="1"/>
  <c r="AC30" i="65" s="1"/>
  <c r="H44" i="65"/>
  <c r="I44" i="65" s="1"/>
  <c r="H43" i="65"/>
  <c r="I43" i="65" s="1"/>
  <c r="H45" i="65"/>
  <c r="I45" i="65" s="1"/>
  <c r="H41" i="65"/>
  <c r="H77" i="65"/>
  <c r="I77" i="65" s="1"/>
  <c r="H76" i="65"/>
  <c r="I76" i="65" s="1"/>
  <c r="H75" i="65"/>
  <c r="I75" i="65" s="1"/>
  <c r="H74" i="65"/>
  <c r="AE11" i="65"/>
  <c r="AD27" i="65"/>
  <c r="I42" i="65"/>
  <c r="AC29" i="65"/>
  <c r="AC28" i="65"/>
  <c r="AD12" i="65"/>
  <c r="AD28" i="65" s="1"/>
  <c r="H59" i="65"/>
  <c r="I59" i="65" s="1"/>
  <c r="H60" i="65"/>
  <c r="I60" i="65" s="1"/>
  <c r="H57" i="65"/>
  <c r="H61" i="65"/>
  <c r="I61" i="65" s="1"/>
  <c r="H58" i="65"/>
  <c r="P7" i="65" l="1"/>
  <c r="FV34" i="111"/>
  <c r="ED21" i="111"/>
  <c r="ED4" i="111" s="1"/>
  <c r="O14" i="65"/>
  <c r="DO21" i="111"/>
  <c r="DO4" i="111" s="1"/>
  <c r="DL21" i="111"/>
  <c r="DL4" i="111" s="1"/>
  <c r="K58" i="65"/>
  <c r="K74" i="65"/>
  <c r="K42" i="65"/>
  <c r="DR21" i="111"/>
  <c r="DR4" i="111" s="1"/>
  <c r="N37" i="65"/>
  <c r="AE16" i="65"/>
  <c r="K11" i="65"/>
  <c r="AC21" i="65"/>
  <c r="AD5" i="65"/>
  <c r="AD21" i="65" s="1"/>
  <c r="N9" i="65"/>
  <c r="AF11" i="65"/>
  <c r="AG11" i="65" s="1"/>
  <c r="AC7" i="65" a="1"/>
  <c r="AC7" i="65" s="1"/>
  <c r="AC23" i="65" s="1"/>
  <c r="I74" i="65"/>
  <c r="I58" i="65"/>
  <c r="AE12" i="65"/>
  <c r="AD13" i="65"/>
  <c r="AD14" i="65" s="1"/>
  <c r="AD30" i="65" s="1"/>
  <c r="AC22" i="65"/>
  <c r="AC26" i="65"/>
  <c r="AE27" i="65"/>
  <c r="DL7" i="111" l="1"/>
  <c r="DL6" i="111"/>
  <c r="DL9" i="111"/>
  <c r="DL8" i="111"/>
  <c r="DL11" i="111"/>
  <c r="DL10" i="111"/>
  <c r="DR7" i="111"/>
  <c r="DR10" i="111"/>
  <c r="DR9" i="111"/>
  <c r="DR8" i="111"/>
  <c r="DR11" i="111"/>
  <c r="DR13" i="111"/>
  <c r="DR14" i="111"/>
  <c r="DR6" i="111"/>
  <c r="DR12" i="111"/>
  <c r="DO16" i="111"/>
  <c r="DO9" i="111"/>
  <c r="DO7" i="111"/>
  <c r="DO15" i="111"/>
  <c r="DO13" i="111"/>
  <c r="DO10" i="111"/>
  <c r="DO14" i="111"/>
  <c r="DO8" i="111"/>
  <c r="DO6" i="111"/>
  <c r="DO12" i="111"/>
  <c r="DO11" i="111"/>
  <c r="ED10" i="111"/>
  <c r="ED6" i="111"/>
  <c r="ED11" i="111"/>
  <c r="ED7" i="111"/>
  <c r="ED8" i="111"/>
  <c r="ED9" i="111"/>
  <c r="ED12" i="111"/>
  <c r="DL3" i="111"/>
  <c r="ED3" i="111"/>
  <c r="P8" i="65"/>
  <c r="U7" i="65"/>
  <c r="C5" i="116" s="1"/>
  <c r="DL5" i="111"/>
  <c r="P25" i="65"/>
  <c r="P26" i="65" s="1"/>
  <c r="AF12" i="65"/>
  <c r="AF28" i="65" s="1"/>
  <c r="K12" i="65"/>
  <c r="ED20" i="111"/>
  <c r="ED5" i="111"/>
  <c r="ED15" i="111"/>
  <c r="ED17" i="111"/>
  <c r="ED19" i="111"/>
  <c r="ED14" i="111"/>
  <c r="ED18" i="111"/>
  <c r="ED16" i="111"/>
  <c r="ED13" i="111"/>
  <c r="AD6" i="65" a="1"/>
  <c r="AD6" i="65" s="1"/>
  <c r="AD22" i="65" s="1"/>
  <c r="K8" i="65"/>
  <c r="K10" i="65" s="1"/>
  <c r="N10" i="65"/>
  <c r="N32" i="65" s="1"/>
  <c r="AC9" i="65"/>
  <c r="AC25" i="65" s="1"/>
  <c r="AC19" i="65" s="1"/>
  <c r="AC33" i="65" s="1"/>
  <c r="DL15" i="111"/>
  <c r="AF27" i="65"/>
  <c r="AD29" i="65"/>
  <c r="AD26" i="65" s="1"/>
  <c r="DL14" i="111"/>
  <c r="DL13" i="111"/>
  <c r="DL19" i="111"/>
  <c r="DL17" i="111"/>
  <c r="DL18" i="111"/>
  <c r="DL20" i="111"/>
  <c r="DL12" i="111"/>
  <c r="DL16" i="111"/>
  <c r="DR20" i="111"/>
  <c r="DR3" i="111"/>
  <c r="DR19" i="111"/>
  <c r="DR18" i="111"/>
  <c r="DR15" i="111"/>
  <c r="DR16" i="111"/>
  <c r="DR17" i="111"/>
  <c r="DR5" i="111"/>
  <c r="DO5" i="111"/>
  <c r="DO3" i="111"/>
  <c r="DO17" i="111"/>
  <c r="DO19" i="111"/>
  <c r="DO20" i="111"/>
  <c r="DO18" i="111"/>
  <c r="P11" i="65"/>
  <c r="P12" i="65" s="1"/>
  <c r="AE28" i="65"/>
  <c r="AE13" i="65"/>
  <c r="AE14" i="65" s="1"/>
  <c r="AE30" i="65" s="1"/>
  <c r="AG27" i="65"/>
  <c r="AH11" i="65"/>
  <c r="S9" i="65"/>
  <c r="U9" i="65"/>
  <c r="P10" i="65"/>
  <c r="U11" i="65" l="1"/>
  <c r="C6" i="116" s="1"/>
  <c r="C21" i="116" s="1"/>
  <c r="U15" i="65"/>
  <c r="U8" i="65"/>
  <c r="AG12" i="65"/>
  <c r="AH12" i="65" s="1"/>
  <c r="AH28" i="65" s="1"/>
  <c r="AD7" i="65" a="1"/>
  <c r="AD7" i="65" s="1"/>
  <c r="AD23" i="65" s="1"/>
  <c r="AE3" i="65"/>
  <c r="AJ11" i="65"/>
  <c r="AK11" i="65" s="1"/>
  <c r="AE29" i="65"/>
  <c r="AE26" i="65" s="1"/>
  <c r="AF13" i="65"/>
  <c r="AF14" i="65" s="1"/>
  <c r="AF30" i="65" s="1"/>
  <c r="AH27" i="65"/>
  <c r="AJ16" i="65"/>
  <c r="AE32" i="65"/>
  <c r="U10" i="65"/>
  <c r="W11" i="65" l="1"/>
  <c r="W12" i="65" s="1"/>
  <c r="C14" i="116"/>
  <c r="C15" i="116"/>
  <c r="AG28" i="65"/>
  <c r="AJ28" i="65" s="1"/>
  <c r="AK28" i="65" s="1"/>
  <c r="AL28" i="65" s="1"/>
  <c r="AP5" i="65"/>
  <c r="AP7" i="65" s="1"/>
  <c r="AD9" i="65"/>
  <c r="AD25" i="65" s="1"/>
  <c r="AD19" i="65" s="1"/>
  <c r="AD33" i="65" s="1"/>
  <c r="U13" i="65"/>
  <c r="FV21" i="111" s="1"/>
  <c r="FV4" i="111" s="1"/>
  <c r="AJ3" i="65"/>
  <c r="AK3" i="65" s="1"/>
  <c r="AE4" i="65"/>
  <c r="N35" i="65"/>
  <c r="AF29" i="65"/>
  <c r="AF26" i="65" s="1"/>
  <c r="AJ12" i="65"/>
  <c r="AK12" i="65" s="1"/>
  <c r="AG13" i="65"/>
  <c r="AG14" i="65" s="1"/>
  <c r="AG30" i="65" s="1"/>
  <c r="AJ27" i="65"/>
  <c r="U12" i="65"/>
  <c r="AJ32" i="65"/>
  <c r="FW4" i="111" l="1"/>
  <c r="FV14" i="111"/>
  <c r="FV17" i="111"/>
  <c r="FW17" i="111" s="1"/>
  <c r="FV20" i="111"/>
  <c r="FW20" i="111" s="1"/>
  <c r="FV6" i="111"/>
  <c r="FV10" i="111"/>
  <c r="CY10" i="111" s="1"/>
  <c r="FV8" i="111"/>
  <c r="FV12" i="111"/>
  <c r="CY12" i="111" s="1"/>
  <c r="FV15" i="111"/>
  <c r="FW15" i="111" s="1"/>
  <c r="FV13" i="111"/>
  <c r="FV5" i="111"/>
  <c r="FV19" i="111"/>
  <c r="FW19" i="111" s="1"/>
  <c r="FV16" i="111"/>
  <c r="FW16" i="111" s="1"/>
  <c r="FV9" i="111"/>
  <c r="FV18" i="111"/>
  <c r="FW18" i="111" s="1"/>
  <c r="FV11" i="111"/>
  <c r="CY11" i="111" s="1"/>
  <c r="FV7" i="111"/>
  <c r="FV3" i="111"/>
  <c r="CY21" i="111"/>
  <c r="DC21" i="111"/>
  <c r="CV21" i="111"/>
  <c r="W13" i="65"/>
  <c r="M21" i="114"/>
  <c r="FV24" i="111"/>
  <c r="DP21" i="111"/>
  <c r="AP14" i="65"/>
  <c r="AP13" i="65"/>
  <c r="FV22" i="111"/>
  <c r="FV32" i="111"/>
  <c r="FV35" i="111" s="1"/>
  <c r="FV36" i="111" s="1"/>
  <c r="CY20" i="111"/>
  <c r="CY17" i="111"/>
  <c r="U14" i="65"/>
  <c r="EE21" i="111"/>
  <c r="DM21" i="111"/>
  <c r="DV21" i="111"/>
  <c r="FK21" i="111"/>
  <c r="DS21" i="111"/>
  <c r="CS21" i="111"/>
  <c r="DF21" i="111"/>
  <c r="AE20" i="65"/>
  <c r="AF4" i="65"/>
  <c r="AE5" i="65" a="1"/>
  <c r="AE5" i="65" s="1"/>
  <c r="AE21" i="65" s="1"/>
  <c r="AH13" i="65"/>
  <c r="AJ13" i="65" s="1"/>
  <c r="AK13" i="65" s="1"/>
  <c r="AG29" i="65"/>
  <c r="AG26" i="65" s="1"/>
  <c r="AV5" i="111" l="1"/>
  <c r="AV4" i="111"/>
  <c r="BA4" i="111"/>
  <c r="BA5" i="111"/>
  <c r="DF4" i="111"/>
  <c r="FK4" i="111"/>
  <c r="CN4" i="111"/>
  <c r="BS4" i="111"/>
  <c r="CS4" i="111"/>
  <c r="CC4" i="111"/>
  <c r="BX4" i="111"/>
  <c r="CH4" i="111"/>
  <c r="CV4" i="111"/>
  <c r="DM4" i="111"/>
  <c r="DP4" i="111"/>
  <c r="FE4" i="111"/>
  <c r="DV4" i="111"/>
  <c r="DJ4" i="111"/>
  <c r="DS4" i="111"/>
  <c r="EE4" i="111"/>
  <c r="AQ4" i="111"/>
  <c r="BG4" i="111"/>
  <c r="BM4" i="111"/>
  <c r="CY18" i="111"/>
  <c r="FW7" i="111"/>
  <c r="FW9" i="111"/>
  <c r="FW13" i="111"/>
  <c r="CY13" i="111"/>
  <c r="FW11" i="111"/>
  <c r="FW5" i="111"/>
  <c r="DP16" i="111"/>
  <c r="DP15" i="111"/>
  <c r="DS7" i="111"/>
  <c r="DP10" i="111"/>
  <c r="DS12" i="111"/>
  <c r="DS8" i="111"/>
  <c r="DM7" i="111"/>
  <c r="DM10" i="111"/>
  <c r="DP12" i="111"/>
  <c r="DS11" i="111"/>
  <c r="DS14" i="111"/>
  <c r="DS9" i="111"/>
  <c r="DS10" i="111"/>
  <c r="DJ6" i="111"/>
  <c r="DJ8" i="111"/>
  <c r="DS13" i="111"/>
  <c r="DS6" i="111"/>
  <c r="DJ7" i="111"/>
  <c r="DJ10" i="111"/>
  <c r="DP9" i="111"/>
  <c r="DP8" i="111"/>
  <c r="DJ9" i="111"/>
  <c r="DP14" i="111"/>
  <c r="DP6" i="111"/>
  <c r="DP7" i="111"/>
  <c r="DM9" i="111"/>
  <c r="DM8" i="111"/>
  <c r="DP11" i="111"/>
  <c r="DM6" i="111"/>
  <c r="DM11" i="111"/>
  <c r="DP13" i="111"/>
  <c r="EE8" i="111"/>
  <c r="EE10" i="111"/>
  <c r="EE7" i="111"/>
  <c r="EE6" i="111"/>
  <c r="EE12" i="111"/>
  <c r="EE9" i="111"/>
  <c r="EE11" i="111"/>
  <c r="FW12" i="111"/>
  <c r="CY16" i="111"/>
  <c r="FW6" i="111"/>
  <c r="DV8" i="111"/>
  <c r="DV9" i="111"/>
  <c r="DV10" i="111"/>
  <c r="DV7" i="111"/>
  <c r="DV11" i="111"/>
  <c r="DV12" i="111"/>
  <c r="DV14" i="111"/>
  <c r="DV13" i="111"/>
  <c r="CY19" i="111"/>
  <c r="FK18" i="111"/>
  <c r="DF20" i="111"/>
  <c r="DF10" i="111"/>
  <c r="DF8" i="111"/>
  <c r="FK7" i="111"/>
  <c r="DF19" i="111"/>
  <c r="DF18" i="111"/>
  <c r="FK11" i="111"/>
  <c r="DF17" i="111"/>
  <c r="FK9" i="111"/>
  <c r="FK19" i="111"/>
  <c r="DF11" i="111"/>
  <c r="DF16" i="111"/>
  <c r="FK14" i="111"/>
  <c r="FK6" i="111"/>
  <c r="DF15" i="111"/>
  <c r="FK13" i="111"/>
  <c r="DF9" i="111"/>
  <c r="FK17" i="111"/>
  <c r="DF14" i="111"/>
  <c r="FK20" i="111"/>
  <c r="FK10" i="111"/>
  <c r="DF13" i="111"/>
  <c r="FK5" i="111"/>
  <c r="FK16" i="111"/>
  <c r="DF12" i="111"/>
  <c r="DF7" i="111"/>
  <c r="FK12" i="111"/>
  <c r="FK8" i="111"/>
  <c r="DF6" i="111"/>
  <c r="FK15" i="111"/>
  <c r="DF5" i="111"/>
  <c r="FE5" i="111"/>
  <c r="FE8" i="111"/>
  <c r="FE6" i="111"/>
  <c r="FE9" i="111"/>
  <c r="FE7" i="111"/>
  <c r="FW8" i="111"/>
  <c r="FW10" i="111"/>
  <c r="DV6" i="111"/>
  <c r="FW14" i="111"/>
  <c r="CY14" i="111"/>
  <c r="EE14" i="111"/>
  <c r="CY15" i="111"/>
  <c r="CV3" i="111"/>
  <c r="BM5" i="111"/>
  <c r="BG3" i="111"/>
  <c r="BM3" i="111"/>
  <c r="BG5" i="111"/>
  <c r="CC5" i="111"/>
  <c r="BS5" i="111"/>
  <c r="CN5" i="111"/>
  <c r="BX5" i="111"/>
  <c r="CH5" i="111"/>
  <c r="CS5" i="111"/>
  <c r="CV5" i="111"/>
  <c r="BA3" i="111"/>
  <c r="AV3" i="111"/>
  <c r="AQ3" i="111"/>
  <c r="AQ5" i="111"/>
  <c r="BX3" i="111"/>
  <c r="CN3" i="111"/>
  <c r="F94" i="113"/>
  <c r="F95" i="113"/>
  <c r="F100" i="113"/>
  <c r="FW21" i="111"/>
  <c r="FV23" i="111"/>
  <c r="FW3" i="111"/>
  <c r="EE20" i="111"/>
  <c r="DJ20" i="111"/>
  <c r="DV20" i="111"/>
  <c r="FE20" i="111"/>
  <c r="DP20" i="111"/>
  <c r="DM20" i="111"/>
  <c r="DS20" i="111"/>
  <c r="DJ12" i="111"/>
  <c r="FE12" i="111"/>
  <c r="DM12" i="111"/>
  <c r="DJ15" i="111"/>
  <c r="EE15" i="111"/>
  <c r="DV15" i="111"/>
  <c r="FE15" i="111"/>
  <c r="DS15" i="111"/>
  <c r="DM15" i="111"/>
  <c r="EE18" i="111"/>
  <c r="DJ18" i="111"/>
  <c r="DV18" i="111"/>
  <c r="FE18" i="111"/>
  <c r="DS18" i="111"/>
  <c r="DP18" i="111"/>
  <c r="DM18" i="111"/>
  <c r="DJ13" i="111"/>
  <c r="EE13" i="111"/>
  <c r="FE13" i="111"/>
  <c r="DM13" i="111"/>
  <c r="DJ17" i="111"/>
  <c r="EE17" i="111"/>
  <c r="DV17" i="111"/>
  <c r="FE17" i="111"/>
  <c r="DS17" i="111"/>
  <c r="DM17" i="111"/>
  <c r="DP17" i="111"/>
  <c r="DJ5" i="111"/>
  <c r="EE5" i="111"/>
  <c r="DV5" i="111"/>
  <c r="DM5" i="111"/>
  <c r="DS5" i="111"/>
  <c r="DP5" i="111"/>
  <c r="DJ14" i="111"/>
  <c r="FE14" i="111"/>
  <c r="DM14" i="111"/>
  <c r="FE10" i="111"/>
  <c r="DJ11" i="111"/>
  <c r="FE11" i="111"/>
  <c r="DJ16" i="111"/>
  <c r="EE16" i="111"/>
  <c r="DV16" i="111"/>
  <c r="FE16" i="111"/>
  <c r="DM16" i="111"/>
  <c r="DS16" i="111"/>
  <c r="DJ19" i="111"/>
  <c r="EE19" i="111"/>
  <c r="DV19" i="111"/>
  <c r="FE19" i="111"/>
  <c r="DM19" i="111"/>
  <c r="DS19" i="111"/>
  <c r="DP19" i="111"/>
  <c r="CS3" i="111"/>
  <c r="FK3" i="111"/>
  <c r="EE3" i="111"/>
  <c r="CC3" i="111"/>
  <c r="DF3" i="111"/>
  <c r="CH3" i="111"/>
  <c r="BS3" i="111"/>
  <c r="DV3" i="111"/>
  <c r="FE3" i="111"/>
  <c r="DS3" i="111"/>
  <c r="DM3" i="111"/>
  <c r="DP3" i="111"/>
  <c r="AE6" i="65" a="1"/>
  <c r="AE6" i="65" s="1"/>
  <c r="AE7" i="65" s="1" a="1"/>
  <c r="AE7" i="65" s="1"/>
  <c r="AE23" i="65" s="1"/>
  <c r="AF20" i="65"/>
  <c r="AF5" i="65" a="1"/>
  <c r="AF5" i="65" s="1"/>
  <c r="AF21" i="65" s="1"/>
  <c r="AG4" i="65"/>
  <c r="AH29" i="65"/>
  <c r="AJ29" i="65" s="1"/>
  <c r="AH14" i="65"/>
  <c r="FW22" i="111" l="1"/>
  <c r="FS23" i="111"/>
  <c r="FW24" i="111"/>
  <c r="FW23" i="111"/>
  <c r="AF6" i="65" a="1"/>
  <c r="AF6" i="65" s="1"/>
  <c r="AF22" i="65" s="1"/>
  <c r="AE9" i="65"/>
  <c r="AE25" i="65" s="1"/>
  <c r="AI4" i="65"/>
  <c r="AI20" i="65" s="1"/>
  <c r="AG20" i="65"/>
  <c r="AG5" i="65" a="1"/>
  <c r="AG5" i="65" s="1"/>
  <c r="AE22" i="65"/>
  <c r="AH4" i="65"/>
  <c r="AJ14" i="65"/>
  <c r="AK14" i="65" s="1"/>
  <c r="AH30" i="65"/>
  <c r="AJ30" i="65" s="1"/>
  <c r="AJ26" i="65" s="1"/>
  <c r="AE19" i="65" l="1"/>
  <c r="AE33" i="65" s="1"/>
  <c r="AG6" i="65" a="1"/>
  <c r="AG6" i="65" s="1"/>
  <c r="AG22" i="65" s="1"/>
  <c r="AF7" i="65" a="1"/>
  <c r="AF7" i="65" s="1"/>
  <c r="AJ4" i="65"/>
  <c r="AK4" i="65" s="1"/>
  <c r="AH20" i="65"/>
  <c r="AJ20" i="65" s="1"/>
  <c r="AH5" i="65" a="1"/>
  <c r="AH5" i="65" s="1"/>
  <c r="AI5" i="65"/>
  <c r="AI21" i="65" s="1"/>
  <c r="AG21" i="65"/>
  <c r="AH26" i="65"/>
  <c r="AH6" i="65" l="1" a="1"/>
  <c r="AH6" i="65" s="1"/>
  <c r="AH22" i="65" s="1"/>
  <c r="AG7" i="65" a="1"/>
  <c r="AG7" i="65" s="1"/>
  <c r="AG23" i="65" s="1"/>
  <c r="AI6" i="65"/>
  <c r="AL22" i="65" s="1"/>
  <c r="AF23" i="65"/>
  <c r="AF9" i="65"/>
  <c r="AF25" i="65" s="1"/>
  <c r="AH21" i="65"/>
  <c r="AJ21" i="65" s="1"/>
  <c r="AK27" i="65" s="1"/>
  <c r="AL27" i="65" s="1"/>
  <c r="AJ5" i="65"/>
  <c r="AK5" i="65" s="1"/>
  <c r="AI22" i="65" l="1"/>
  <c r="AJ22" i="65" s="1"/>
  <c r="AK29" i="65" s="1"/>
  <c r="AL29" i="65" s="1"/>
  <c r="AH7" i="65" a="1"/>
  <c r="AH7" i="65" s="1"/>
  <c r="AH23" i="65" s="1"/>
  <c r="AH19" i="65" s="1"/>
  <c r="AH33" i="65" s="1"/>
  <c r="AJ6" i="65"/>
  <c r="AK6" i="65" s="1"/>
  <c r="AG9" i="65"/>
  <c r="AJ9" i="65" s="1"/>
  <c r="AI7" i="65"/>
  <c r="AI23" i="65" s="1"/>
  <c r="AF19" i="65"/>
  <c r="AF33" i="65" s="1"/>
  <c r="AG25" i="65" l="1"/>
  <c r="AG19" i="65" s="1"/>
  <c r="AG33" i="65" s="1"/>
  <c r="AJ23" i="65"/>
  <c r="AI19" i="65"/>
  <c r="DX21" i="111" s="1"/>
  <c r="DX4" i="111" s="1"/>
  <c r="AJ7" i="65"/>
  <c r="AK7" i="65" s="1"/>
  <c r="DY4" i="111" l="1"/>
  <c r="DX6" i="111"/>
  <c r="DX11" i="111"/>
  <c r="DX7" i="111"/>
  <c r="DX12" i="111"/>
  <c r="DX10" i="111"/>
  <c r="DX8" i="111"/>
  <c r="DX13" i="111"/>
  <c r="DX14" i="111"/>
  <c r="DX9" i="111"/>
  <c r="DY6" i="111"/>
  <c r="DX3" i="111"/>
  <c r="DY21" i="111"/>
  <c r="AJ25" i="65"/>
  <c r="AJ19" i="65" s="1"/>
  <c r="DX5" i="111"/>
  <c r="DX15" i="111"/>
  <c r="DX20" i="111"/>
  <c r="DX16" i="111"/>
  <c r="DX19" i="111"/>
  <c r="DX18" i="111"/>
  <c r="DX17" i="111"/>
  <c r="AI33" i="65"/>
  <c r="DY8" i="111" l="1"/>
  <c r="DY9" i="111"/>
  <c r="DY10" i="111"/>
  <c r="DY12" i="111"/>
  <c r="DY11" i="111"/>
  <c r="DY14" i="111"/>
  <c r="DY13" i="111"/>
  <c r="DY7" i="111"/>
  <c r="EJ7" i="111"/>
  <c r="DY16" i="111"/>
  <c r="DY15" i="111"/>
  <c r="DY17" i="111"/>
  <c r="DY5" i="111"/>
  <c r="DY3" i="111"/>
  <c r="DY20" i="111"/>
  <c r="DY18" i="111"/>
  <c r="DY19" i="111"/>
  <c r="AJ33" i="65"/>
  <c r="AJ34" i="65" s="1"/>
  <c r="EK7" i="111" l="1"/>
  <c r="AL33" i="65"/>
  <c r="U26" i="65" l="1"/>
  <c r="S24" i="65" l="1"/>
  <c r="M22" i="114" l="1"/>
  <c r="EM21" i="111" s="1"/>
  <c r="EM3" i="111" s="1"/>
  <c r="U27" i="65"/>
  <c r="W28" i="65"/>
  <c r="W30" i="65" s="1"/>
  <c r="EG4" i="111" l="1"/>
  <c r="FM4" i="111"/>
  <c r="FN4" i="111" s="1"/>
  <c r="FP4" i="111"/>
  <c r="FP7" i="111"/>
  <c r="FQ7" i="111" s="1"/>
  <c r="FP11" i="111"/>
  <c r="FQ11" i="111" s="1"/>
  <c r="FM7" i="111"/>
  <c r="FN7" i="111" s="1"/>
  <c r="FM19" i="111"/>
  <c r="FN19" i="111" s="1"/>
  <c r="FP12" i="111"/>
  <c r="FQ12" i="111" s="1"/>
  <c r="FP14" i="111"/>
  <c r="FQ14" i="111" s="1"/>
  <c r="FP8" i="111"/>
  <c r="FQ8" i="111" s="1"/>
  <c r="FM11" i="111"/>
  <c r="FN11" i="111" s="1"/>
  <c r="FM14" i="111"/>
  <c r="FN14" i="111" s="1"/>
  <c r="FM9" i="111"/>
  <c r="FN9" i="111" s="1"/>
  <c r="FM6" i="111"/>
  <c r="FN6" i="111" s="1"/>
  <c r="FP16" i="111"/>
  <c r="FQ16" i="111" s="1"/>
  <c r="FP17" i="111"/>
  <c r="FQ17" i="111" s="1"/>
  <c r="FP9" i="111"/>
  <c r="FQ9" i="111" s="1"/>
  <c r="FP19" i="111"/>
  <c r="FP10" i="111"/>
  <c r="FQ10" i="111" s="1"/>
  <c r="FP20" i="111"/>
  <c r="FQ20" i="111" s="1"/>
  <c r="FM17" i="111"/>
  <c r="FN17" i="111" s="1"/>
  <c r="FM20" i="111"/>
  <c r="FN20" i="111" s="1"/>
  <c r="FM10" i="111"/>
  <c r="FN10" i="111" s="1"/>
  <c r="FP13" i="111"/>
  <c r="FQ13" i="111" s="1"/>
  <c r="FP5" i="111"/>
  <c r="FQ5" i="111" s="1"/>
  <c r="FM16" i="111"/>
  <c r="FN16" i="111" s="1"/>
  <c r="FM13" i="111"/>
  <c r="FN13" i="111" s="1"/>
  <c r="FM5" i="111"/>
  <c r="FN5" i="111" s="1"/>
  <c r="FP15" i="111"/>
  <c r="FQ15" i="111" s="1"/>
  <c r="FM12" i="111"/>
  <c r="FN12" i="111" s="1"/>
  <c r="FM8" i="111"/>
  <c r="FN8" i="111" s="1"/>
  <c r="FP6" i="111"/>
  <c r="FQ6" i="111" s="1"/>
  <c r="FP18" i="111"/>
  <c r="FQ18" i="111" s="1"/>
  <c r="FM15" i="111"/>
  <c r="FN15" i="111" s="1"/>
  <c r="FM18" i="111"/>
  <c r="FQ3" i="111"/>
  <c r="EG6" i="111"/>
  <c r="EJ6" i="111" s="1"/>
  <c r="EM4" i="111"/>
  <c r="FM3" i="111"/>
  <c r="EG15" i="111"/>
  <c r="EJ15" i="111" s="1"/>
  <c r="EG13" i="111"/>
  <c r="EJ13" i="111" s="1"/>
  <c r="EG9" i="111"/>
  <c r="EJ9" i="111" s="1"/>
  <c r="EG19" i="111"/>
  <c r="EJ19" i="111" s="1"/>
  <c r="EK19" i="111" s="1"/>
  <c r="EG17" i="111"/>
  <c r="EJ17" i="111" s="1"/>
  <c r="EG18" i="111"/>
  <c r="EJ18" i="111" s="1"/>
  <c r="EK18" i="111" s="1"/>
  <c r="EG5" i="111"/>
  <c r="EJ5" i="111" s="1"/>
  <c r="EG3" i="111"/>
  <c r="EG11" i="111"/>
  <c r="EJ11" i="111" s="1"/>
  <c r="EG8" i="111"/>
  <c r="EJ8" i="111" s="1"/>
  <c r="EG20" i="111"/>
  <c r="EJ20" i="111" s="1"/>
  <c r="EG10" i="111"/>
  <c r="EJ10" i="111" s="1"/>
  <c r="EG14" i="111"/>
  <c r="EJ14" i="111" s="1"/>
  <c r="EG16" i="111"/>
  <c r="EJ16" i="111" s="1"/>
  <c r="EG12" i="111"/>
  <c r="EJ12" i="111" s="1"/>
  <c r="W29" i="65"/>
  <c r="FQ4" i="111" l="1"/>
  <c r="FP21" i="111"/>
  <c r="FG4" i="111"/>
  <c r="FH4" i="111" s="1"/>
  <c r="EN4" i="111"/>
  <c r="EH4" i="111"/>
  <c r="EJ4" i="111"/>
  <c r="EK5" i="111"/>
  <c r="EK13" i="111"/>
  <c r="FN18" i="111"/>
  <c r="EK15" i="111"/>
  <c r="EK16" i="111"/>
  <c r="EM9" i="111"/>
  <c r="EM10" i="111"/>
  <c r="EM6" i="111"/>
  <c r="EM7" i="111"/>
  <c r="EM8" i="111"/>
  <c r="FQ19" i="111"/>
  <c r="EK17" i="111"/>
  <c r="EK9" i="111"/>
  <c r="EK12" i="111"/>
  <c r="EK14" i="111"/>
  <c r="EK10" i="111"/>
  <c r="EK20" i="111"/>
  <c r="EK8" i="111"/>
  <c r="EK6" i="111"/>
  <c r="EK11" i="111"/>
  <c r="EH6" i="111"/>
  <c r="EN21" i="111"/>
  <c r="FG3" i="111"/>
  <c r="FQ21" i="111"/>
  <c r="EH11" i="111"/>
  <c r="EH14" i="111"/>
  <c r="EH18" i="111"/>
  <c r="EH15" i="111"/>
  <c r="EH12" i="111"/>
  <c r="EH9" i="111"/>
  <c r="EH13" i="111"/>
  <c r="EH10" i="111"/>
  <c r="EG21" i="111"/>
  <c r="EH21" i="111" s="1"/>
  <c r="EH3" i="111"/>
  <c r="EH19" i="111"/>
  <c r="EH8" i="111"/>
  <c r="FM21" i="111"/>
  <c r="FN21" i="111" s="1"/>
  <c r="FN3" i="111"/>
  <c r="EH16" i="111"/>
  <c r="EH20" i="111"/>
  <c r="EH5" i="111"/>
  <c r="EH17" i="111"/>
  <c r="FS3" i="111" l="1"/>
  <c r="FS4" i="111"/>
  <c r="EK4" i="111"/>
  <c r="FT4" i="111" s="1"/>
  <c r="O4" i="111" s="1"/>
  <c r="FG7" i="111"/>
  <c r="EN7" i="111"/>
  <c r="EN9" i="111"/>
  <c r="FG9" i="111"/>
  <c r="EN8" i="111"/>
  <c r="FG8" i="111"/>
  <c r="EN6" i="111"/>
  <c r="FG6" i="111"/>
  <c r="EN10" i="111"/>
  <c r="FG10" i="111"/>
  <c r="FH10" i="111" l="1"/>
  <c r="FS10" i="111"/>
  <c r="FH6" i="111"/>
  <c r="FT6" i="111" s="1"/>
  <c r="O6" i="111" s="1"/>
  <c r="FS6" i="111"/>
  <c r="FH9" i="111"/>
  <c r="FS9" i="111"/>
  <c r="FH8" i="111"/>
  <c r="FS8" i="111"/>
  <c r="FH7" i="111"/>
  <c r="FT7" i="111" s="1"/>
  <c r="O7" i="111" s="1"/>
  <c r="FS7" i="111"/>
  <c r="BG17" i="113"/>
  <c r="BG18" i="113" s="1"/>
  <c r="BJ18" i="113" s="1"/>
  <c r="AG26" i="113" l="1"/>
  <c r="AG45" i="113" s="1"/>
  <c r="AG65" i="113" s="1"/>
  <c r="BR18" i="113"/>
  <c r="N26" i="113"/>
  <c r="N45" i="113" s="1"/>
  <c r="AW26" i="113"/>
  <c r="AW45" i="113" s="1"/>
  <c r="AW65" i="113" s="1"/>
  <c r="BJ17" i="113"/>
  <c r="AJ17" i="113" s="1"/>
  <c r="AJ36" i="113" s="1"/>
  <c r="BG25" i="113"/>
  <c r="N65" i="113"/>
  <c r="L26" i="113"/>
  <c r="L45" i="113" s="1"/>
  <c r="AU26" i="113"/>
  <c r="AU45" i="113" s="1"/>
  <c r="C26" i="113"/>
  <c r="C45" i="113" s="1"/>
  <c r="Z26" i="113"/>
  <c r="Z45" i="113" s="1"/>
  <c r="AJ26" i="113"/>
  <c r="AJ45" i="113" s="1"/>
  <c r="AV26" i="113"/>
  <c r="AV45" i="113" s="1"/>
  <c r="V26" i="113"/>
  <c r="V45" i="113" s="1"/>
  <c r="AL26" i="113"/>
  <c r="AL45" i="113" s="1"/>
  <c r="BB26" i="113"/>
  <c r="BB45" i="113" s="1"/>
  <c r="AR26" i="113"/>
  <c r="AR45" i="113" s="1"/>
  <c r="AZ26" i="113"/>
  <c r="AZ45" i="113" s="1"/>
  <c r="AK26" i="113"/>
  <c r="AK45" i="113" s="1"/>
  <c r="G26" i="113"/>
  <c r="G45" i="113" s="1"/>
  <c r="AE26" i="113"/>
  <c r="AE45" i="113" s="1"/>
  <c r="F26" i="113"/>
  <c r="F45" i="113" s="1"/>
  <c r="R26" i="113"/>
  <c r="R45" i="113" s="1"/>
  <c r="AP26" i="113"/>
  <c r="AP45" i="113" s="1"/>
  <c r="O26" i="113"/>
  <c r="O45" i="113" s="1"/>
  <c r="S26" i="113"/>
  <c r="S45" i="113" s="1"/>
  <c r="AM26" i="113"/>
  <c r="AM45" i="113" s="1"/>
  <c r="T26" i="113"/>
  <c r="T45" i="113" s="1"/>
  <c r="K26" i="113"/>
  <c r="K45" i="113" s="1"/>
  <c r="AS26" i="113"/>
  <c r="AS45" i="113" s="1"/>
  <c r="AF26" i="113"/>
  <c r="AF45" i="113" s="1"/>
  <c r="I26" i="113"/>
  <c r="I45" i="113" s="1"/>
  <c r="AQ26" i="113"/>
  <c r="AQ45" i="113" s="1"/>
  <c r="E26" i="113"/>
  <c r="E45" i="113" s="1"/>
  <c r="AN26" i="113"/>
  <c r="AN45" i="113" s="1"/>
  <c r="H26" i="113"/>
  <c r="H45" i="113" s="1"/>
  <c r="AC26" i="113"/>
  <c r="AC45" i="113" s="1"/>
  <c r="AA26" i="113"/>
  <c r="AA45" i="113" s="1"/>
  <c r="BA26" i="113"/>
  <c r="BA45" i="113" s="1"/>
  <c r="D26" i="113"/>
  <c r="D45" i="113" s="1"/>
  <c r="AB26" i="113"/>
  <c r="AB45" i="113" s="1"/>
  <c r="J26" i="113"/>
  <c r="J45" i="113" s="1"/>
  <c r="Q26" i="113"/>
  <c r="Q45" i="113" s="1"/>
  <c r="AH26" i="113"/>
  <c r="AH45" i="113" s="1"/>
  <c r="AO26" i="113"/>
  <c r="AO45" i="113" s="1"/>
  <c r="AD26" i="113"/>
  <c r="AD45" i="113" s="1"/>
  <c r="X26" i="113"/>
  <c r="X45" i="113" s="1"/>
  <c r="M26" i="113"/>
  <c r="M45" i="113" s="1"/>
  <c r="AY26" i="113"/>
  <c r="AY45" i="113" s="1"/>
  <c r="AX26" i="113"/>
  <c r="AX45" i="113" s="1"/>
  <c r="P26" i="113"/>
  <c r="P45" i="113" s="1"/>
  <c r="BC26" i="113"/>
  <c r="BC45" i="113" s="1"/>
  <c r="W26" i="113"/>
  <c r="W45" i="113" s="1"/>
  <c r="AI26" i="113"/>
  <c r="AI45" i="113" s="1"/>
  <c r="AT26" i="113"/>
  <c r="AT45" i="113" s="1"/>
  <c r="Y26" i="113"/>
  <c r="Y45" i="113" s="1"/>
  <c r="U26" i="113"/>
  <c r="U45" i="113" s="1"/>
  <c r="AT17" i="113"/>
  <c r="AT36" i="113" s="1"/>
  <c r="V17" i="113"/>
  <c r="V36" i="113" s="1"/>
  <c r="R17" i="113" l="1"/>
  <c r="R36" i="113" s="1"/>
  <c r="AB17" i="113"/>
  <c r="AB36" i="113" s="1"/>
  <c r="AB56" i="113" s="1"/>
  <c r="BJ25" i="113"/>
  <c r="AI17" i="113"/>
  <c r="AI36" i="113" s="1"/>
  <c r="AI56" i="113" s="1"/>
  <c r="AV17" i="113"/>
  <c r="AV36" i="113" s="1"/>
  <c r="X17" i="113"/>
  <c r="X36" i="113" s="1"/>
  <c r="BR17" i="113"/>
  <c r="AA17" i="113"/>
  <c r="AA36" i="113" s="1"/>
  <c r="AA56" i="113" s="1"/>
  <c r="AS17" i="113"/>
  <c r="AS36" i="113" s="1"/>
  <c r="AS56" i="113" s="1"/>
  <c r="AK17" i="113"/>
  <c r="AK36" i="113" s="1"/>
  <c r="AK56" i="113" s="1"/>
  <c r="BB17" i="113"/>
  <c r="BB36" i="113" s="1"/>
  <c r="BB56" i="113" s="1"/>
  <c r="AF17" i="113"/>
  <c r="AF36" i="113" s="1"/>
  <c r="AF56" i="113" s="1"/>
  <c r="AH17" i="113"/>
  <c r="AH36" i="113" s="1"/>
  <c r="AH56" i="113" s="1"/>
  <c r="AR17" i="113"/>
  <c r="AR36" i="113" s="1"/>
  <c r="AR56" i="113" s="1"/>
  <c r="Z17" i="113"/>
  <c r="Z36" i="113" s="1"/>
  <c r="Z56" i="113" s="1"/>
  <c r="AW17" i="113"/>
  <c r="AW36" i="113" s="1"/>
  <c r="AW56" i="113" s="1"/>
  <c r="T17" i="113"/>
  <c r="T36" i="113" s="1"/>
  <c r="T56" i="113" s="1"/>
  <c r="AN17" i="113"/>
  <c r="AN36" i="113" s="1"/>
  <c r="AN56" i="113" s="1"/>
  <c r="S17" i="113"/>
  <c r="S36" i="113" s="1"/>
  <c r="S56" i="113" s="1"/>
  <c r="AZ17" i="113"/>
  <c r="AZ36" i="113" s="1"/>
  <c r="AZ56" i="113" s="1"/>
  <c r="AX17" i="113"/>
  <c r="AX36" i="113" s="1"/>
  <c r="AX56" i="113" s="1"/>
  <c r="Y17" i="113"/>
  <c r="Y36" i="113" s="1"/>
  <c r="Y56" i="113" s="1"/>
  <c r="AY17" i="113"/>
  <c r="AY36" i="113" s="1"/>
  <c r="AY56" i="113" s="1"/>
  <c r="AG17" i="113"/>
  <c r="AG36" i="113" s="1"/>
  <c r="AG56" i="113" s="1"/>
  <c r="AU17" i="113"/>
  <c r="AU36" i="113" s="1"/>
  <c r="AU56" i="113" s="1"/>
  <c r="W17" i="113"/>
  <c r="W36" i="113" s="1"/>
  <c r="W56" i="113" s="1"/>
  <c r="BT13" i="113"/>
  <c r="AE17" i="113"/>
  <c r="AE36" i="113" s="1"/>
  <c r="AE56" i="113" s="1"/>
  <c r="AQ17" i="113"/>
  <c r="AQ36" i="113" s="1"/>
  <c r="AQ56" i="113" s="1"/>
  <c r="AM17" i="113"/>
  <c r="AM36" i="113" s="1"/>
  <c r="AM56" i="113" s="1"/>
  <c r="AD17" i="113"/>
  <c r="AD36" i="113" s="1"/>
  <c r="AD56" i="113" s="1"/>
  <c r="AO17" i="113"/>
  <c r="AO36" i="113" s="1"/>
  <c r="AO56" i="113" s="1"/>
  <c r="BA17" i="113"/>
  <c r="BA36" i="113" s="1"/>
  <c r="BA56" i="113" s="1"/>
  <c r="AP17" i="113"/>
  <c r="AP36" i="113" s="1"/>
  <c r="AP56" i="113" s="1"/>
  <c r="AL17" i="113"/>
  <c r="AL36" i="113" s="1"/>
  <c r="AL56" i="113" s="1"/>
  <c r="BC17" i="113"/>
  <c r="BC36" i="113" s="1"/>
  <c r="BC56" i="113" s="1"/>
  <c r="AC17" i="113"/>
  <c r="AC36" i="113" s="1"/>
  <c r="AC56" i="113" s="1"/>
  <c r="U17" i="113"/>
  <c r="U36" i="113" s="1"/>
  <c r="U56" i="113" s="1"/>
  <c r="AJ56" i="113"/>
  <c r="AD65" i="113"/>
  <c r="F65" i="113"/>
  <c r="AT56" i="113"/>
  <c r="AO65" i="113"/>
  <c r="AE65" i="113"/>
  <c r="X56" i="113"/>
  <c r="I65" i="113"/>
  <c r="AF65" i="113"/>
  <c r="AK65" i="113"/>
  <c r="J65" i="113"/>
  <c r="AZ65" i="113"/>
  <c r="V56" i="113"/>
  <c r="AB65" i="113"/>
  <c r="U65" i="113"/>
  <c r="T65" i="113"/>
  <c r="AV56" i="113"/>
  <c r="Y65" i="113"/>
  <c r="BA65" i="113"/>
  <c r="AM65" i="113"/>
  <c r="AL65" i="113"/>
  <c r="AX65" i="113"/>
  <c r="S65" i="113"/>
  <c r="AT65" i="113"/>
  <c r="AC65" i="113"/>
  <c r="AV65" i="113"/>
  <c r="W65" i="113"/>
  <c r="E65" i="113"/>
  <c r="C65" i="113"/>
  <c r="BC65" i="113"/>
  <c r="AQ65" i="113"/>
  <c r="AU65" i="113"/>
  <c r="R56" i="113"/>
  <c r="AH65" i="113"/>
  <c r="G65" i="113"/>
  <c r="L65" i="113"/>
  <c r="Q65" i="113"/>
  <c r="AS65" i="113"/>
  <c r="K65" i="113"/>
  <c r="AR65" i="113"/>
  <c r="D65" i="113"/>
  <c r="BB65" i="113"/>
  <c r="P65" i="113"/>
  <c r="AA65" i="113"/>
  <c r="V65" i="113"/>
  <c r="AY65" i="113"/>
  <c r="O65" i="113"/>
  <c r="AI65" i="113"/>
  <c r="M65" i="113"/>
  <c r="H65" i="113"/>
  <c r="AP65" i="113"/>
  <c r="AJ65" i="113"/>
  <c r="X65" i="113"/>
  <c r="AN65" i="113"/>
  <c r="R65" i="113"/>
  <c r="Z65" i="113"/>
  <c r="BU13" i="113" l="1"/>
  <c r="BU14" i="113" s="1"/>
  <c r="BT14" i="113" s="1"/>
  <c r="BN13" i="113"/>
  <c r="BO13" i="113" s="1"/>
  <c r="BN17" i="113"/>
  <c r="BO17" i="113" s="1"/>
  <c r="BA76" i="113" s="1"/>
  <c r="Y76" i="113" l="1"/>
  <c r="AM76" i="113"/>
  <c r="AP76" i="113"/>
  <c r="AD76" i="113"/>
  <c r="AC76" i="113"/>
  <c r="AW76" i="113"/>
  <c r="AO85" i="113"/>
  <c r="AV76" i="113"/>
  <c r="AC85" i="113"/>
  <c r="BC76" i="113"/>
  <c r="V85" i="113"/>
  <c r="BB85" i="113"/>
  <c r="AU85" i="113"/>
  <c r="AL85" i="113"/>
  <c r="P85" i="113"/>
  <c r="AQ76" i="113"/>
  <c r="AK85" i="113"/>
  <c r="AB85" i="113"/>
  <c r="AR76" i="113"/>
  <c r="G85" i="113"/>
  <c r="AS85" i="113"/>
  <c r="D85" i="113"/>
  <c r="AI85" i="113"/>
  <c r="S76" i="113"/>
  <c r="J85" i="113"/>
  <c r="U85" i="113"/>
  <c r="AF76" i="113"/>
  <c r="Z85" i="113"/>
  <c r="AR85" i="113"/>
  <c r="AS76" i="113"/>
  <c r="AH85" i="113"/>
  <c r="AN76" i="113"/>
  <c r="AE85" i="113"/>
  <c r="AV85" i="113"/>
  <c r="BC85" i="113"/>
  <c r="M85" i="113"/>
  <c r="X85" i="113"/>
  <c r="AU76" i="113"/>
  <c r="AG76" i="113"/>
  <c r="AZ85" i="113"/>
  <c r="AL76" i="113"/>
  <c r="W85" i="113"/>
  <c r="I85" i="113"/>
  <c r="R76" i="113"/>
  <c r="AT76" i="113"/>
  <c r="AT85" i="113"/>
  <c r="AB76" i="113"/>
  <c r="Y85" i="113"/>
  <c r="AX85" i="113"/>
  <c r="AQ85" i="113"/>
  <c r="AZ76" i="113"/>
  <c r="AP85" i="113"/>
  <c r="K85" i="113"/>
  <c r="F85" i="113"/>
  <c r="AO76" i="113"/>
  <c r="AE76" i="113"/>
  <c r="AW85" i="113"/>
  <c r="AX76" i="113"/>
  <c r="AF85" i="113"/>
  <c r="V76" i="113"/>
  <c r="AG85" i="113"/>
  <c r="AI76" i="113"/>
  <c r="BA85" i="113"/>
  <c r="Z76" i="113"/>
  <c r="L85" i="113"/>
  <c r="AK76" i="113"/>
  <c r="H85" i="113"/>
  <c r="AN85" i="113"/>
  <c r="AJ76" i="113"/>
  <c r="X76" i="113"/>
  <c r="S85" i="113"/>
  <c r="AA76" i="113"/>
  <c r="N85" i="113"/>
  <c r="AY85" i="113"/>
  <c r="AD85" i="113"/>
  <c r="U76" i="113"/>
  <c r="AH76" i="113"/>
  <c r="R85" i="113"/>
  <c r="AM85" i="113"/>
  <c r="Q85" i="113"/>
  <c r="O85" i="113"/>
  <c r="T76" i="113"/>
  <c r="AJ85" i="113"/>
  <c r="E85" i="113"/>
  <c r="T85" i="113"/>
  <c r="W76" i="113"/>
  <c r="AA85" i="113"/>
  <c r="AY76" i="113"/>
  <c r="C85" i="113"/>
  <c r="BB76" i="113"/>
  <c r="J76" i="113"/>
  <c r="H78" i="113"/>
  <c r="C79" i="113"/>
  <c r="D78" i="113"/>
  <c r="K79" i="113"/>
  <c r="G77" i="113"/>
  <c r="G78" i="113"/>
  <c r="P77" i="113"/>
  <c r="J78" i="113"/>
  <c r="N76" i="113"/>
  <c r="N77" i="113"/>
  <c r="O78" i="113"/>
  <c r="H79" i="113"/>
  <c r="P78" i="113"/>
  <c r="M79" i="113"/>
  <c r="K76" i="113"/>
  <c r="I78" i="113"/>
  <c r="N79" i="113"/>
  <c r="E79" i="113"/>
  <c r="I79" i="113"/>
  <c r="M76" i="113"/>
  <c r="G79" i="113"/>
  <c r="E78" i="113"/>
  <c r="L77" i="113"/>
  <c r="H76" i="113"/>
  <c r="N78" i="113"/>
  <c r="P79" i="113"/>
  <c r="Q77" i="113"/>
  <c r="J77" i="113"/>
  <c r="I77" i="113"/>
  <c r="E77" i="113"/>
  <c r="Q79" i="113"/>
  <c r="K78" i="113"/>
  <c r="F76" i="113"/>
  <c r="L79" i="113"/>
  <c r="Q76" i="113"/>
  <c r="O76" i="113"/>
  <c r="K77" i="113"/>
  <c r="L78" i="113"/>
  <c r="G76" i="113"/>
  <c r="M77" i="113"/>
  <c r="M78" i="113"/>
  <c r="O79" i="113"/>
  <c r="E76" i="113"/>
  <c r="D79" i="113"/>
  <c r="O77" i="113"/>
  <c r="F78" i="113"/>
  <c r="P76" i="113"/>
  <c r="L76" i="113"/>
  <c r="D77" i="113"/>
  <c r="C78" i="113"/>
  <c r="F79" i="113"/>
  <c r="F77" i="113"/>
  <c r="Q78" i="113"/>
  <c r="D76" i="113"/>
  <c r="I76" i="113"/>
  <c r="C77" i="113"/>
  <c r="H77" i="113"/>
  <c r="C76" i="113"/>
  <c r="J79" i="113"/>
  <c r="BN14" i="113"/>
  <c r="BO14" i="113" s="1"/>
  <c r="BN18" i="113"/>
  <c r="BO18" i="113" s="1"/>
  <c r="C98" i="113" l="1"/>
  <c r="BP13" i="113"/>
  <c r="BP20" i="113"/>
  <c r="BP19" i="113"/>
  <c r="C97" i="113"/>
  <c r="BP23" i="113"/>
  <c r="BP14" i="113"/>
  <c r="C99" i="113"/>
  <c r="BP17" i="113"/>
  <c r="C91" i="113"/>
  <c r="BP18" i="113"/>
  <c r="C96" i="113"/>
  <c r="C101" i="113" l="1"/>
  <c r="F101" i="113" s="1"/>
  <c r="D96" i="113"/>
  <c r="F96" i="113" l="1"/>
  <c r="G100" i="113"/>
  <c r="CX23" i="111" l="1"/>
  <c r="CX25" i="111" s="1"/>
  <c r="CX24" i="111" l="1"/>
  <c r="EM5" i="111" l="1"/>
  <c r="FG5" i="111" s="1"/>
  <c r="FH5" i="111" l="1"/>
  <c r="FS5" i="111"/>
  <c r="EM11" i="111"/>
  <c r="EM14" i="111"/>
  <c r="FT8" i="111"/>
  <c r="O8" i="111" s="1"/>
  <c r="EM15" i="111"/>
  <c r="FG15" i="111" s="1"/>
  <c r="EM16" i="111"/>
  <c r="EM13" i="111"/>
  <c r="EM17" i="111"/>
  <c r="EN3" i="111"/>
  <c r="EM18" i="111"/>
  <c r="FG18" i="111" s="1"/>
  <c r="EM20" i="111"/>
  <c r="FG20" i="111" s="1"/>
  <c r="EM19" i="111"/>
  <c r="EM12" i="111"/>
  <c r="EN5" i="111"/>
  <c r="FT5" i="111" s="1"/>
  <c r="O5" i="111" s="1"/>
  <c r="FH18" i="111" l="1"/>
  <c r="FS18" i="111"/>
  <c r="EN12" i="111"/>
  <c r="FG12" i="111"/>
  <c r="EN19" i="111"/>
  <c r="FG19" i="111"/>
  <c r="FH15" i="111"/>
  <c r="FS15" i="111"/>
  <c r="FH20" i="111"/>
  <c r="FS20" i="111"/>
  <c r="EN17" i="111"/>
  <c r="FG17" i="111"/>
  <c r="EN13" i="111"/>
  <c r="FG13" i="111"/>
  <c r="EN16" i="111"/>
  <c r="FG16" i="111"/>
  <c r="EN14" i="111"/>
  <c r="FG14" i="111"/>
  <c r="EN11" i="111"/>
  <c r="FG11" i="111"/>
  <c r="EN15" i="111"/>
  <c r="EN18" i="111"/>
  <c r="EN20" i="111"/>
  <c r="FT9" i="111"/>
  <c r="O9" i="111" s="1"/>
  <c r="FT10" i="111"/>
  <c r="O10" i="111" s="1"/>
  <c r="FG21" i="111" l="1"/>
  <c r="FT18" i="111"/>
  <c r="O18" i="111" s="1"/>
  <c r="FH17" i="111"/>
  <c r="FT17" i="111" s="1"/>
  <c r="O17" i="111" s="1"/>
  <c r="FS17" i="111"/>
  <c r="FH13" i="111"/>
  <c r="FS13" i="111"/>
  <c r="FT13" i="111"/>
  <c r="O13" i="111" s="1"/>
  <c r="FT20" i="111"/>
  <c r="O20" i="111" s="1"/>
  <c r="FT19" i="111"/>
  <c r="O19" i="111" s="1"/>
  <c r="FH11" i="111"/>
  <c r="FT11" i="111" s="1"/>
  <c r="O11" i="111" s="1"/>
  <c r="FS11" i="111"/>
  <c r="FH12" i="111"/>
  <c r="FT12" i="111" s="1"/>
  <c r="O12" i="111" s="1"/>
  <c r="FS12" i="111"/>
  <c r="FH14" i="111"/>
  <c r="FT14" i="111" s="1"/>
  <c r="O14" i="111" s="1"/>
  <c r="FS14" i="111"/>
  <c r="FH16" i="111"/>
  <c r="FT16" i="111" s="1"/>
  <c r="O16" i="111" s="1"/>
  <c r="FS16" i="111"/>
  <c r="FT15" i="111"/>
  <c r="O15" i="111" s="1"/>
  <c r="FH19" i="111"/>
  <c r="FS19" i="111"/>
  <c r="FH21" i="111"/>
  <c r="FH3" i="111"/>
  <c r="DI3" i="111"/>
  <c r="EJ3" i="111" s="1"/>
  <c r="EK3" i="111" s="1"/>
  <c r="FS21" i="111" l="1"/>
  <c r="C7" i="116" s="1"/>
  <c r="FT3" i="111"/>
  <c r="DJ3" i="111"/>
  <c r="EJ21" i="111"/>
  <c r="EK21" i="111" s="1"/>
  <c r="FT21" i="111" s="1"/>
  <c r="O21" i="111" s="1"/>
  <c r="C10" i="116" l="1"/>
  <c r="C9" i="116"/>
  <c r="C11" i="116" s="1"/>
  <c r="C12" i="116" s="1"/>
  <c r="AP6" i="65"/>
  <c r="O3" i="111"/>
  <c r="FS24" i="111"/>
  <c r="C13" i="116" l="1"/>
  <c r="FS39" i="111"/>
  <c r="FS40" i="111" s="1"/>
  <c r="AP8" i="65"/>
  <c r="AP9" i="65"/>
  <c r="AP10" i="65" l="1"/>
  <c r="AP11" i="65" s="1"/>
  <c r="AP12"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tc={FA0BC2F7-3093-4CDE-9847-FE088AA76366}</author>
    <author>tc={A23F1449-8555-49AA-B6F3-319E72DA6498}</author>
    <author>tc={227A08E7-1508-4086-9B7F-60AA03E32B41}</author>
    <author>tc={3FECC4B3-61E2-4641-9947-A9EE359A61E9}</author>
    <author>Daniel Lambert</author>
    <author>tc={94757799-246D-41F0-A3EA-158F38D17ED2}</author>
    <author>tc={4AC285A8-5E39-4310-8D66-A55B1ECA12F6}</author>
    <author>tc={05BEBD87-70D0-4719-A883-EC30E51DB72E}</author>
  </authors>
  <commentList>
    <comment ref="F7" authorId="0" shapeId="0" xr:uid="{FA0BC2F7-3093-4CDE-9847-FE088AA76366}">
      <text>
        <t>[Threaded comment]
Your version of Excel allows you to read this threaded comment; however, any edits to it will get removed if the file is opened in a newer version of Excel. Learn more: https://go.microsoft.com/fwlink/?linkid=870924
Comment:
    Average CO2 emissions of 0.2686kgCO2 per mile in 2024 (based on UK Gov data for ‘Passenger vehicles’ - Average Car, Unknown Fuel Type):
https://www.gov.uk/government/statistical-data-sets/nts09-vehicle-mileage-and-occupancy#car-mileage
And each car drives 7,000 miles per annum in 2023 (based on DfT data for ‘All cars’ category): https://www.gov.uk/government/statistical-data-sets/nts09-vehicle-mileage-and-occupancy#car-mileage</t>
      </text>
    </comment>
    <comment ref="F8" authorId="1" shapeId="0" xr:uid="{A23F1449-8555-49AA-B6F3-319E72DA6498}">
      <text>
        <t>[Threaded comment]
Your version of Excel allows you to read this threaded comment; however, any edits to it will get removed if the file is opened in a newer version of Excel. Learn more: https://go.microsoft.com/fwlink/?linkid=870924
Comment:
    https://ecotree.green/en/how-much-co2-does-a-tree-absorb</t>
      </text>
    </comment>
    <comment ref="F10" authorId="2" shapeId="0" xr:uid="{227A08E7-1508-4086-9B7F-60AA03E32B41}">
      <text>
        <t>[Threaded comment]
Your version of Excel allows you to read this threaded comment; however, any edits to it will get removed if the file is opened in a newer version of Excel. Learn more: https://go.microsoft.com/fwlink/?linkid=870924
Comment:
    https://www.ofgem.gov.uk/average-gas-and-electricity-usage</t>
      </text>
    </comment>
    <comment ref="F11" authorId="3" shapeId="0" xr:uid="{3FECC4B3-61E2-4641-9947-A9EE359A61E9}">
      <text>
        <t>[Threaded comment]
Your version of Excel allows you to read this threaded comment; however, any edits to it will get removed if the file is opened in a newer version of Excel. Learn more: https://go.microsoft.com/fwlink/?linkid=870924
Comment:
    Assumptions:
100,000 km/y average HGV mileage
0.25 kg per km average gas truck fuel consumption
15 kWh per kg biomethane energy content
https://www.gov.uk/government/statistics/road-traffic-estimates-in-great-britain-2020</t>
      </text>
    </comment>
    <comment ref="B12" authorId="4" shapeId="0" xr:uid="{944FC09F-5AF8-4A29-9847-47B03A01E9B4}">
      <text>
        <r>
          <rPr>
            <b/>
            <sz val="9"/>
            <color indexed="81"/>
            <rFont val="Tahoma"/>
            <family val="2"/>
          </rPr>
          <t>Daniel Lambert:</t>
        </r>
        <r>
          <rPr>
            <sz val="9"/>
            <color indexed="81"/>
            <rFont val="Tahoma"/>
            <family val="2"/>
          </rPr>
          <t xml:space="preserve">
https://www.bbc.co.uk/news/50591261</t>
        </r>
      </text>
    </comment>
    <comment ref="F13" authorId="5" shapeId="0" xr:uid="{94757799-246D-41F0-A3EA-158F38D17ED2}">
      <text>
        <t xml:space="preserve">[Threaded comment]
Your version of Excel allows you to read this threaded comment; however, any edits to it will get removed if the file is opened in a newer version of Excel. Learn more: https://go.microsoft.com/fwlink/?linkid=870924
Comment:
    Based on Ofgem's Typical Domestic Consumption Values (TDCV) of 2,900kWh of electricity, see https://www.ofgem.gov.uk/cy/publications/ofgem-updates-price-cap-level-and-tightens-rules-suppliers
Also note this is now 12,000kWh of gas </t>
      </text>
    </comment>
    <comment ref="F14" authorId="6" shapeId="0" xr:uid="{4AC285A8-5E39-4310-8D66-A55B1ECA12F6}">
      <text>
        <t>[Threaded comment]
Your version of Excel allows you to read this threaded comment; however, any edits to it will get removed if the file is opened in a newer version of Excel. Learn more: https://go.microsoft.com/fwlink/?linkid=870924
Comment:
    Average efficiency of CCGT in UK - see https://www.statista.com/statistics/548943/thermal-efficiency-gas-turbine-stations-uk/</t>
      </text>
    </comment>
    <comment ref="B61" authorId="7" shapeId="0" xr:uid="{05BEBD87-70D0-4719-A883-EC30E51DB72E}">
      <text>
        <t>[Threaded comment]
Your version of Excel allows you to read this threaded comment; however, any edits to it will get removed if the file is opened in a newer version of Excel. Learn more: https://go.microsoft.com/fwlink/?linkid=870924
Comment:
    GCV used for consistency.
Ofgem carbon calc may require LHV - needs double-checking as not clear.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Lambert</author>
  </authors>
  <commentList>
    <comment ref="CU1" authorId="0" shapeId="0" xr:uid="{94F8D3A6-8B51-46C8-970C-5A723199A79A}">
      <text>
        <r>
          <rPr>
            <b/>
            <sz val="9"/>
            <color indexed="81"/>
            <rFont val="Tahoma"/>
            <family val="2"/>
          </rPr>
          <t>Daniel Lambert:</t>
        </r>
        <r>
          <rPr>
            <sz val="9"/>
            <color indexed="81"/>
            <rFont val="Tahoma"/>
            <family val="2"/>
          </rPr>
          <t xml:space="preserve">
emissions from the extraction or cultivation of raw materials;</t>
        </r>
      </text>
    </comment>
    <comment ref="CX1" authorId="0" shapeId="0" xr:uid="{9BC50D7D-8BEF-4B80-969C-D03A0C76B213}">
      <text>
        <r>
          <rPr>
            <b/>
            <sz val="9"/>
            <color indexed="81"/>
            <rFont val="Tahoma"/>
            <family val="2"/>
          </rPr>
          <t>Daniel Lambert:</t>
        </r>
        <r>
          <rPr>
            <sz val="9"/>
            <color indexed="81"/>
            <rFont val="Tahoma"/>
            <family val="2"/>
          </rPr>
          <t xml:space="preserve">
Emissions TBC, but will be minimal.
Default is 0.6gCO2e/MJ</t>
        </r>
      </text>
    </comment>
    <comment ref="FJ1" authorId="0" shapeId="0" xr:uid="{A7FBC258-9370-4917-8B7B-FE126C3096F7}">
      <text>
        <r>
          <rPr>
            <b/>
            <sz val="9"/>
            <color indexed="81"/>
            <rFont val="Tahoma"/>
            <family val="2"/>
          </rPr>
          <t>Daniel Lambert:</t>
        </r>
        <r>
          <rPr>
            <sz val="9"/>
            <color indexed="81"/>
            <rFont val="Tahoma"/>
            <family val="2"/>
          </rPr>
          <t xml:space="preserve">
REDII, ANNEX V, C.13 (page 73): "Emissions of the fuel in use, eu, shall be taken to be zero for biofuels and bioliquids. Emissions of non-CO2 greenhouse gases (N2O and CH4) of the fuel in use shall be included in the eu factor for bioliquids."</t>
        </r>
      </text>
    </comment>
    <comment ref="Q3" authorId="0" shapeId="0" xr:uid="{0588E3EE-114C-4368-8EBD-B2C7ADE45267}">
      <text>
        <r>
          <rPr>
            <b/>
            <sz val="9"/>
            <color indexed="81"/>
            <rFont val="Tahoma"/>
            <family val="2"/>
          </rPr>
          <t>Daniel Lambert:</t>
        </r>
        <r>
          <rPr>
            <sz val="9"/>
            <color indexed="81"/>
            <rFont val="Tahoma"/>
            <family val="2"/>
          </rPr>
          <t xml:space="preserve">
Based on Hybrid Rye yield of 32t/ha lower bound and 40t/ha upper in Agricultural Budgeting &amp; Costing Book (Nov 2022, p.288)</t>
        </r>
      </text>
    </comment>
    <comment ref="S3" authorId="0" shapeId="0" xr:uid="{AA5E3BA7-89B6-480D-A7CE-52E836E126FE}">
      <text>
        <r>
          <rPr>
            <b/>
            <sz val="9"/>
            <color indexed="81"/>
            <rFont val="Tahoma"/>
            <family val="2"/>
          </rPr>
          <t>Daniel Lambert:</t>
        </r>
        <r>
          <rPr>
            <sz val="9"/>
            <color indexed="81"/>
            <rFont val="Tahoma"/>
            <family val="2"/>
          </rPr>
          <t xml:space="preserve">
Nutrient Management Guide (RB209), Section 3, February 2020.
Table 3.25 Nitrogen for winter-sown oats and rye.
Assuming SNS type 1 AND 'All other mineral soils'.
ASSUMES 40T/HA YIELD.</t>
        </r>
      </text>
    </comment>
    <comment ref="T3" authorId="0" shapeId="0" xr:uid="{15021FE0-5058-4FD0-B5C2-275A9BE63030}">
      <text>
        <r>
          <rPr>
            <b/>
            <sz val="9"/>
            <color indexed="81"/>
            <rFont val="Tahoma"/>
            <family val="2"/>
          </rPr>
          <t>Daniel Lambert:</t>
        </r>
        <r>
          <rPr>
            <sz val="9"/>
            <color indexed="81"/>
            <rFont val="Tahoma"/>
            <family val="2"/>
          </rPr>
          <t xml:space="preserve">
Nutrient Management Guide (RB209), Section 3,, February 2020.
Table 3.27 Phosphate and potash for all wholecrop cereals
Assuming SNS type 1.</t>
        </r>
      </text>
    </comment>
    <comment ref="U3" authorId="0" shapeId="0" xr:uid="{D0324972-1D51-499C-840D-98B69B7702B4}">
      <text>
        <r>
          <rPr>
            <b/>
            <sz val="9"/>
            <color indexed="81"/>
            <rFont val="Tahoma"/>
            <family val="2"/>
          </rPr>
          <t>Daniel Lambert:</t>
        </r>
        <r>
          <rPr>
            <sz val="9"/>
            <color indexed="81"/>
            <rFont val="Tahoma"/>
            <family val="2"/>
          </rPr>
          <t xml:space="preserve">
Nutrient Management Guide (RB209), Section 3,, February 2020.
Table 3.27 Phosphate and potash for all wholecrop cereals
Assuming SNS type 1.</t>
        </r>
      </text>
    </comment>
    <comment ref="AO3" authorId="0" shapeId="0" xr:uid="{37B998FD-4C2C-4F93-A66A-B36EA3DAEFCA}">
      <text>
        <r>
          <rPr>
            <b/>
            <sz val="9"/>
            <color indexed="81"/>
            <rFont val="Tahoma"/>
            <family val="2"/>
          </rPr>
          <t>Daniel Lambert:</t>
        </r>
        <r>
          <rPr>
            <sz val="9"/>
            <color indexed="81"/>
            <rFont val="Tahoma"/>
            <family val="2"/>
          </rPr>
          <t xml:space="preserve">
Source: Biograce 4</t>
        </r>
      </text>
    </comment>
    <comment ref="AT3" authorId="0" shapeId="0" xr:uid="{3E0CD4AB-08F5-478A-B669-4D8DE89D4AFC}">
      <text>
        <r>
          <rPr>
            <b/>
            <sz val="9"/>
            <color indexed="81"/>
            <rFont val="Tahoma"/>
            <family val="2"/>
          </rPr>
          <t>Daniel Lambert:</t>
        </r>
        <r>
          <rPr>
            <sz val="9"/>
            <color indexed="81"/>
            <rFont val="Tahoma"/>
            <family val="2"/>
          </rPr>
          <t xml:space="preserve">
Source: Biograce 4</t>
        </r>
      </text>
    </comment>
    <comment ref="AY3" authorId="0" shapeId="0" xr:uid="{E1DDF296-B4AD-45C2-A5C1-F95E833D76CF}">
      <text>
        <r>
          <rPr>
            <b/>
            <sz val="9"/>
            <color indexed="81"/>
            <rFont val="Tahoma"/>
            <family val="2"/>
          </rPr>
          <t>Daniel Lambert:</t>
        </r>
        <r>
          <rPr>
            <sz val="9"/>
            <color indexed="81"/>
            <rFont val="Tahoma"/>
            <family val="2"/>
          </rPr>
          <t xml:space="preserve">
Source: Biograce 4</t>
        </r>
      </text>
    </comment>
    <comment ref="BQ3" authorId="0" shapeId="0" xr:uid="{100C8EDC-E4A1-40A3-AABD-23E2BB4031CA}">
      <text>
        <r>
          <rPr>
            <b/>
            <sz val="9"/>
            <color indexed="81"/>
            <rFont val="Tahoma"/>
            <family val="2"/>
          </rPr>
          <t>Daniel Lambert:</t>
        </r>
        <r>
          <rPr>
            <sz val="9"/>
            <color indexed="81"/>
            <rFont val="Tahoma"/>
            <family val="2"/>
          </rPr>
          <t xml:space="preserve">
BioGrace 4</t>
        </r>
      </text>
    </comment>
    <comment ref="BT3" authorId="0" shapeId="0" xr:uid="{126DC03C-1FA3-423C-9707-3A8EA6E29ABE}">
      <text>
        <r>
          <rPr>
            <sz val="11"/>
            <color rgb="FF000000"/>
            <rFont val="Calibri"/>
            <family val="2"/>
          </rPr>
          <t>Daniel Lambert:
kg(product)/ha
Source: AEA (2010) regional emissions from biofuels cultivation revised report Dec 2010</t>
        </r>
      </text>
    </comment>
    <comment ref="BV3" authorId="0" shapeId="0" xr:uid="{89C88F1B-AD4D-4512-B0DA-A6F4926F5916}">
      <text>
        <r>
          <rPr>
            <b/>
            <sz val="9"/>
            <color indexed="81"/>
            <rFont val="Tahoma"/>
            <family val="2"/>
          </rPr>
          <t>Daniel Lambert:</t>
        </r>
        <r>
          <rPr>
            <sz val="9"/>
            <color indexed="81"/>
            <rFont val="Tahoma"/>
            <family val="2"/>
          </rPr>
          <t xml:space="preserve">
BioGrace 4</t>
        </r>
      </text>
    </comment>
    <comment ref="BY3" authorId="0" shapeId="0" xr:uid="{29E8F065-ADA9-4FB3-9378-3F7E19165C3F}">
      <text>
        <r>
          <rPr>
            <sz val="11"/>
            <color rgb="FF000000"/>
            <rFont val="Calibri"/>
            <family val="2"/>
          </rPr>
          <t>Daniel Lambert:
kg(product)/ha
Source: AEA (2010) regional emissions from biofuels cultivation revised report Dec 2010</t>
        </r>
      </text>
    </comment>
    <comment ref="CA3" authorId="0" shapeId="0" xr:uid="{71FB34C4-6F92-4227-ABE9-6331C03B5F77}">
      <text>
        <r>
          <rPr>
            <b/>
            <sz val="9"/>
            <color indexed="81"/>
            <rFont val="Tahoma"/>
            <family val="2"/>
          </rPr>
          <t>Daniel Lambert:</t>
        </r>
        <r>
          <rPr>
            <sz val="9"/>
            <color indexed="81"/>
            <rFont val="Tahoma"/>
            <family val="2"/>
          </rPr>
          <t xml:space="preserve">
BioGrace II</t>
        </r>
      </text>
    </comment>
    <comment ref="CD3" authorId="0" shapeId="0" xr:uid="{AA639784-58F0-494F-BD6E-0672FA64E613}">
      <text>
        <r>
          <rPr>
            <sz val="11"/>
            <color rgb="FF000000"/>
            <rFont val="Calibri"/>
            <family val="2"/>
          </rPr>
          <t>Daniel Lambert:
litre/ha
Source: AEA (2010) regional emissions from biofuels cultivation - assume same as wheat</t>
        </r>
      </text>
    </comment>
    <comment ref="CJ3" authorId="0" shapeId="0" xr:uid="{43F03B03-89A4-41A1-BF35-D6DD0C546AAC}">
      <text>
        <r>
          <rPr>
            <sz val="11"/>
            <color rgb="FF000000"/>
            <rFont val="Calibri"/>
            <family val="2"/>
          </rPr>
          <t>Daniel Lambert:
MJ/tonne of feedstock
Source: AEA (2010) regional emissions from biofuels cultivation</t>
        </r>
      </text>
    </comment>
    <comment ref="CP3" authorId="0" shapeId="0" xr:uid="{7B24CE2D-0DB4-4289-91FF-42D6CF3697BE}">
      <text>
        <r>
          <rPr>
            <sz val="11"/>
            <color rgb="FF000000"/>
            <rFont val="Calibri"/>
            <family val="2"/>
          </rPr>
          <t>Daniel Lambert:
MJ/tonne of feedstock
Source: NNFCC (2010) Forage Maize Production Spreadsheet - ensiling diesel use only</t>
        </r>
      </text>
    </comment>
    <comment ref="Q4" authorId="0" shapeId="0" xr:uid="{D580E2E5-45C2-475D-B3E6-F3915C514347}">
      <text>
        <r>
          <rPr>
            <b/>
            <sz val="9"/>
            <color indexed="81"/>
            <rFont val="Tahoma"/>
            <family val="2"/>
          </rPr>
          <t>Daniel Lambert:</t>
        </r>
        <r>
          <rPr>
            <sz val="9"/>
            <color indexed="81"/>
            <rFont val="Tahoma"/>
            <family val="2"/>
          </rPr>
          <t xml:space="preserve">
Based on Maize, 38t/ha lower bound and 48t/ha upper in Agricultural Budgeting &amp; Costing Book (Nov 2022, p.289).
</t>
        </r>
      </text>
    </comment>
    <comment ref="S4" authorId="0" shapeId="0" xr:uid="{26137967-6BBE-4C32-A8DD-9013A7ABA97A}">
      <text>
        <r>
          <rPr>
            <b/>
            <sz val="9"/>
            <color indexed="81"/>
            <rFont val="Tahoma"/>
            <family val="2"/>
          </rPr>
          <t>Daniel Lambert:</t>
        </r>
        <r>
          <rPr>
            <sz val="9"/>
            <color indexed="81"/>
            <rFont val="Tahoma"/>
            <family val="2"/>
          </rPr>
          <t xml:space="preserve">
Nutrient Management Guide (RB209), Section 3,, February 2020.
Table 3.19 Nitrogen, phosphate and potash recommendations for forage maize.
Assuming SNS type 1.
ASSUMES 40T/HA YIELD.</t>
        </r>
      </text>
    </comment>
    <comment ref="T4" authorId="0" shapeId="0" xr:uid="{2539D333-5A7A-4029-AA73-160539A7766D}">
      <text>
        <r>
          <rPr>
            <b/>
            <sz val="9"/>
            <color indexed="81"/>
            <rFont val="Tahoma"/>
            <family val="2"/>
          </rPr>
          <t>Daniel Lambert:</t>
        </r>
        <r>
          <rPr>
            <sz val="9"/>
            <color indexed="81"/>
            <rFont val="Tahoma"/>
            <family val="2"/>
          </rPr>
          <t xml:space="preserve">
Nutrient Management Guide (RB209), Section 3,, February 2020.
Table 3.19 Nitrogen, phosphate and potash recommendations for forage maize.
Assuming SNS type 1.
ASSUMES 40T/HA YIELD.</t>
        </r>
      </text>
    </comment>
    <comment ref="U4" authorId="0" shapeId="0" xr:uid="{0AF766D2-AE78-4149-BC75-3317C6F9967E}">
      <text>
        <r>
          <rPr>
            <b/>
            <sz val="9"/>
            <color indexed="81"/>
            <rFont val="Tahoma"/>
            <family val="2"/>
          </rPr>
          <t>Daniel Lambert:</t>
        </r>
        <r>
          <rPr>
            <sz val="9"/>
            <color indexed="81"/>
            <rFont val="Tahoma"/>
            <family val="2"/>
          </rPr>
          <t xml:space="preserve">
Nutrient Management Guide (RB209), Section 3,, February 2020.
Table 3.19 Nitrogen, phosphate and potash recommendations for forage maize.
Assuming SNS type 1.
ASSUMES 40T/HA YIELD.</t>
        </r>
      </text>
    </comment>
    <comment ref="BY4" authorId="0" shapeId="0" xr:uid="{5F93734E-A7BA-449D-A4D8-5CC33E713284}">
      <text>
        <r>
          <rPr>
            <sz val="11"/>
            <color rgb="FF000000"/>
            <rFont val="Calibri"/>
            <family val="2"/>
          </rPr>
          <t>Daniel Lambert:
kg(product)/ha
Source: BioGrace II</t>
        </r>
      </text>
    </comment>
    <comment ref="CD4" authorId="0" shapeId="0" xr:uid="{94B63174-283B-46CF-8DFC-C9618591B176}">
      <text>
        <r>
          <rPr>
            <sz val="11"/>
            <color rgb="FF000000"/>
            <rFont val="Calibri"/>
            <family val="2"/>
          </rPr>
          <t>Daniel Lambert:
litre/ha
Source: Gerin et al (2008) "Energy and CO2 balance of maize and grass as energy crops for anaerobic digestion" in Bioresource Technology 99 (2008) pp. 2620-2627</t>
        </r>
      </text>
    </comment>
    <comment ref="CJ4" authorId="0" shapeId="0" xr:uid="{360A6884-4A41-45DF-9E5B-B03A0C6C73A6}">
      <text>
        <r>
          <rPr>
            <sz val="11"/>
            <color rgb="FF000000"/>
            <rFont val="Calibri"/>
            <family val="2"/>
          </rPr>
          <t>Daniel Lambert:
MJ/tonne of feedstock
Source: AEA (2010) regional emissions from biofuels cultivation</t>
        </r>
      </text>
    </comment>
    <comment ref="CP4" authorId="0" shapeId="0" xr:uid="{BE5F21C0-9D33-45F4-BE24-74D152B9F508}">
      <text>
        <r>
          <rPr>
            <sz val="11"/>
            <color rgb="FF000000"/>
            <rFont val="Calibri"/>
            <family val="2"/>
          </rPr>
          <t>Daniel Lambert:
MJ/tonne of feedstock
Source: NNFCC (2010) Forage Maize Production Spreadsheet - ensiling diesel use only</t>
        </r>
      </text>
    </comment>
    <comment ref="Q5" authorId="0" shapeId="0" xr:uid="{B050A920-843D-40D0-BC7B-D94E0414CC78}">
      <text>
        <r>
          <rPr>
            <b/>
            <sz val="9"/>
            <color indexed="81"/>
            <rFont val="Tahoma"/>
            <family val="2"/>
          </rPr>
          <t>Daniel Lambert:</t>
        </r>
        <r>
          <rPr>
            <sz val="9"/>
            <color indexed="81"/>
            <rFont val="Tahoma"/>
            <family val="2"/>
          </rPr>
          <t xml:space="preserve">
Based on One Year Ley, 55t/ha lower bound and 75t/ha upper in Agricultural Budgeting &amp; Costing Book (Nov 2022, p.285</t>
        </r>
      </text>
    </comment>
    <comment ref="S5" authorId="0" shapeId="0" xr:uid="{7FC5516A-0DC9-4EBC-A40F-0E9DEC7FB7E9}">
      <text>
        <r>
          <rPr>
            <b/>
            <sz val="9"/>
            <color indexed="81"/>
            <rFont val="Tahoma"/>
            <family val="2"/>
          </rPr>
          <t>Daniel Lambert:</t>
        </r>
        <r>
          <rPr>
            <sz val="9"/>
            <color indexed="81"/>
            <rFont val="Tahoma"/>
            <family val="2"/>
          </rPr>
          <t xml:space="preserve">
Based on One Year Ley fertiliser requirement in Agricultural Budgeting &amp; Costing Book (Nov 2022, p.285)</t>
        </r>
      </text>
    </comment>
    <comment ref="T5" authorId="0" shapeId="0" xr:uid="{0D330859-5B6D-4A53-9F76-E94312DA2C7D}">
      <text>
        <r>
          <rPr>
            <b/>
            <sz val="9"/>
            <color indexed="81"/>
            <rFont val="Tahoma"/>
            <family val="2"/>
          </rPr>
          <t>Daniel Lambert:</t>
        </r>
        <r>
          <rPr>
            <sz val="9"/>
            <color indexed="81"/>
            <rFont val="Tahoma"/>
            <family val="2"/>
          </rPr>
          <t xml:space="preserve">
Based on One Year Ley fertiliser requirement in Agricultural Budgeting &amp; Costing Book (Nov 2022, p.285)</t>
        </r>
      </text>
    </comment>
    <comment ref="U5" authorId="0" shapeId="0" xr:uid="{465DB533-FDE0-4187-A480-2FDD407BB825}">
      <text>
        <r>
          <rPr>
            <b/>
            <sz val="9"/>
            <color indexed="81"/>
            <rFont val="Tahoma"/>
            <family val="2"/>
          </rPr>
          <t>Daniel Lambert:</t>
        </r>
        <r>
          <rPr>
            <sz val="9"/>
            <color indexed="81"/>
            <rFont val="Tahoma"/>
            <family val="2"/>
          </rPr>
          <t xml:space="preserve">
Based on One Year Ley fertiliser requirement in Agricultural Budgeting &amp; Costing Book (Nov 2022, p.285)</t>
        </r>
      </text>
    </comment>
    <comment ref="AO5" authorId="0" shapeId="0" xr:uid="{A9972EA9-704A-44CE-BE4F-0A517BEA1078}">
      <text>
        <r>
          <rPr>
            <b/>
            <sz val="9"/>
            <color indexed="81"/>
            <rFont val="Tahoma"/>
            <family val="2"/>
          </rPr>
          <t>Daniel Lambert:</t>
        </r>
        <r>
          <rPr>
            <sz val="9"/>
            <color indexed="81"/>
            <rFont val="Tahoma"/>
            <family val="2"/>
          </rPr>
          <t xml:space="preserve">
Source: Biograce II</t>
        </r>
      </text>
    </comment>
    <comment ref="AT5" authorId="0" shapeId="0" xr:uid="{F387B010-342C-4B4D-A8A9-CCFF429C400F}">
      <text>
        <r>
          <rPr>
            <b/>
            <sz val="9"/>
            <color indexed="81"/>
            <rFont val="Tahoma"/>
            <family val="2"/>
          </rPr>
          <t>Daniel Lambert:</t>
        </r>
        <r>
          <rPr>
            <sz val="9"/>
            <color indexed="81"/>
            <rFont val="Tahoma"/>
            <family val="2"/>
          </rPr>
          <t xml:space="preserve">
Source: Biograce 4</t>
        </r>
      </text>
    </comment>
    <comment ref="AY5" authorId="0" shapeId="0" xr:uid="{3C1C083D-58A1-4A0B-8A5F-04293F5A5DE4}">
      <text>
        <r>
          <rPr>
            <b/>
            <sz val="9"/>
            <color indexed="81"/>
            <rFont val="Tahoma"/>
            <family val="2"/>
          </rPr>
          <t>Daniel Lambert:</t>
        </r>
        <r>
          <rPr>
            <sz val="9"/>
            <color indexed="81"/>
            <rFont val="Tahoma"/>
            <family val="2"/>
          </rPr>
          <t xml:space="preserve">
Source: Biograce 4</t>
        </r>
      </text>
    </comment>
    <comment ref="BQ5" authorId="0" shapeId="0" xr:uid="{32CBAF00-2A63-47A4-A18D-A5F4F4945862}">
      <text>
        <r>
          <rPr>
            <b/>
            <sz val="9"/>
            <color indexed="81"/>
            <rFont val="Tahoma"/>
            <family val="2"/>
          </rPr>
          <t>Daniel Lambert:</t>
        </r>
        <r>
          <rPr>
            <sz val="9"/>
            <color indexed="81"/>
            <rFont val="Tahoma"/>
            <family val="2"/>
          </rPr>
          <t xml:space="preserve">
BioGrace 4</t>
        </r>
      </text>
    </comment>
    <comment ref="BT5" authorId="0" shapeId="0" xr:uid="{8DC13EC4-393C-4E25-A769-3F04430A97C8}">
      <text>
        <r>
          <rPr>
            <sz val="11"/>
            <color rgb="FF000000"/>
            <rFont val="Calibri"/>
            <family val="2"/>
          </rPr>
          <t>Daniel Lambert:
kg(product)/ha
Source: BioGrace II</t>
        </r>
      </text>
    </comment>
    <comment ref="BV5" authorId="0" shapeId="0" xr:uid="{C9AFDB91-7729-4A1C-A2BE-0EAB72754732}">
      <text>
        <r>
          <rPr>
            <b/>
            <sz val="9"/>
            <color indexed="81"/>
            <rFont val="Tahoma"/>
            <family val="2"/>
          </rPr>
          <t>Daniel Lambert:</t>
        </r>
        <r>
          <rPr>
            <sz val="9"/>
            <color indexed="81"/>
            <rFont val="Tahoma"/>
            <family val="2"/>
          </rPr>
          <t xml:space="preserve">
BioGrace 4</t>
        </r>
      </text>
    </comment>
    <comment ref="BY5" authorId="0" shapeId="0" xr:uid="{1F05CDC1-434F-47E4-837E-BA31C4F575C3}">
      <text>
        <r>
          <rPr>
            <sz val="11"/>
            <color rgb="FF000000"/>
            <rFont val="Calibri"/>
            <family val="2"/>
          </rPr>
          <t>Daniel Lambert:
Source: McEniry et al (2011) the effect of feedstock cost as exemplified by biomethane production from silage grass. Biofuels, Bioproducts &amp; Biorefining (2011)</t>
        </r>
      </text>
    </comment>
    <comment ref="CA5" authorId="0" shapeId="0" xr:uid="{42122F08-6BAF-444C-9BBB-4E40633B5C20}">
      <text>
        <r>
          <rPr>
            <b/>
            <sz val="9"/>
            <color indexed="81"/>
            <rFont val="Tahoma"/>
            <family val="2"/>
          </rPr>
          <t>Daniel Lambert:</t>
        </r>
        <r>
          <rPr>
            <sz val="9"/>
            <color indexed="81"/>
            <rFont val="Tahoma"/>
            <family val="2"/>
          </rPr>
          <t xml:space="preserve">
BioGrace II</t>
        </r>
      </text>
    </comment>
    <comment ref="CD5" authorId="0" shapeId="0" xr:uid="{1140D29A-DAC9-4559-A969-DEBB2306E647}">
      <text>
        <r>
          <rPr>
            <sz val="11"/>
            <color rgb="FF000000"/>
            <rFont val="Calibri"/>
            <family val="2"/>
          </rPr>
          <t>Daniel Lambert:
litre/ha
Source: Smyth et al (2009) Wheat is the energy balance of grass biomethane in Ireland and other temperate northern European climates?</t>
        </r>
      </text>
    </comment>
    <comment ref="CJ5" authorId="0" shapeId="0" xr:uid="{132D0988-9DAC-4798-B26B-363E6724C2DC}">
      <text>
        <r>
          <rPr>
            <sz val="11"/>
            <color rgb="FF000000"/>
            <rFont val="Calibri"/>
            <family val="2"/>
          </rPr>
          <t>Daniel Lambert:
MJ/tonne of feedstock
Source: AEA (2010) regional emissions from biofuels cultivation</t>
        </r>
      </text>
    </comment>
    <comment ref="CP5" authorId="0" shapeId="0" xr:uid="{B293B2CD-D8B8-4F54-850A-6C94B41703D6}">
      <text>
        <r>
          <rPr>
            <sz val="11"/>
            <color rgb="FF000000"/>
            <rFont val="Calibri"/>
            <family val="2"/>
          </rPr>
          <t>Daniel Lambert:
MJ/tonne of feedstock
Source: NNFCC (2010) Forage Maize Production Spreadsheet - ensiling diesel use only</t>
        </r>
      </text>
    </comment>
    <comment ref="DF24" authorId="0" shapeId="0" xr:uid="{45CBF152-F2A8-4D42-B1F7-28D3CF3C7EE3}">
      <text>
        <r>
          <rPr>
            <b/>
            <sz val="9"/>
            <color indexed="81"/>
            <rFont val="Tahoma"/>
            <family val="2"/>
          </rPr>
          <t>Daniel Lambert:</t>
        </r>
        <r>
          <rPr>
            <sz val="9"/>
            <color indexed="81"/>
            <rFont val="Tahoma"/>
            <family val="2"/>
          </rPr>
          <t xml:space="preserve">
For esca a bonus of 45 g CO2eq/MJ manure shall be attributed for improved agricultural and manure management in the case animal manure is used as a substrate for the production of biogas and biomethane.
See REDII, p100, Annex VI, B.1.c)
Manure credits could be counted higher if stored in lagoons with capture of offgas etc.</t>
        </r>
      </text>
    </comment>
    <comment ref="EG24" authorId="0" shapeId="0" xr:uid="{1F87D025-CE18-4185-8390-C2766890CEAC}">
      <text>
        <r>
          <rPr>
            <b/>
            <sz val="9"/>
            <color indexed="81"/>
            <rFont val="Tahoma"/>
            <family val="2"/>
          </rPr>
          <t>Daniel Lambert:</t>
        </r>
        <r>
          <rPr>
            <sz val="9"/>
            <color indexed="81"/>
            <rFont val="Tahoma"/>
            <family val="2"/>
          </rPr>
          <t xml:space="preserve">
should this be counted? It's biogenic so not usually taken into account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tc={2CCA60BD-CF11-4880-9018-1C123E163073}</author>
    <author>tc={C5150162-BB32-4075-8733-3577A9475BE8}</author>
    <author>tc={5CEF7148-A1C5-4D0D-9250-5B2308EB06D3}</author>
    <author>Daniel Lambert</author>
    <author>tc={1F23F436-121B-4063-A07D-EA4BA69C75A8}</author>
    <author>tc={FEBB24BB-47E4-4907-8B93-A2D549DA0296}</author>
    <author>tc={89C138B9-DFD9-4250-89E1-AD2235502FAB}</author>
    <author>tc={DFF0CD5E-AC0B-4C61-AE45-EB07A268955E}</author>
    <author>tc={88E3CA7B-EF1A-49A6-8DC4-7760AC1E0604}</author>
  </authors>
  <commentList>
    <comment ref="AS7" authorId="0" shapeId="0" xr:uid="{2CCA60BD-CF11-4880-9018-1C123E163073}">
      <text>
        <t>[Threaded comment]
Your version of Excel allows you to read this threaded comment; however, any edits to it will get removed if the file is opened in a newer version of Excel. Learn more: https://go.microsoft.com/fwlink/?linkid=870924
Comment:
    Average CO2 emissions of 0.2686kgCO2 per mile in 2024 (based on UK Gov data for ‘Passenger vehicles’ - Average Car, Unknown Fuel Type):
https://www.gov.uk/government/statistical-data-sets/nts09-vehicle-mileage-and-occupancy#car-mileage
And each car drives 7,000 miles per annum in 2023 (based on DfT data for ‘All cars’ category): https://www.gov.uk/government/statistical-data-sets/nts09-vehicle-mileage-and-occupancy#car-mileage</t>
      </text>
    </comment>
    <comment ref="AS8" authorId="1" shapeId="0" xr:uid="{C5150162-BB32-4075-8733-3577A9475BE8}">
      <text>
        <t>[Threaded comment]
Your version of Excel allows you to read this threaded comment; however, any edits to it will get removed if the file is opened in a newer version of Excel. Learn more: https://go.microsoft.com/fwlink/?linkid=870924
Comment:
    https://ecotree.green/en/how-much-co2-does-a-tree-absorb</t>
      </text>
    </comment>
    <comment ref="AS10" authorId="2" shapeId="0" xr:uid="{5CEF7148-A1C5-4D0D-9250-5B2308EB06D3}">
      <text>
        <t>[Threaded comment]
Your version of Excel allows you to read this threaded comment; however, any edits to it will get removed if the file is opened in a newer version of Excel. Learn more: https://go.microsoft.com/fwlink/?linkid=870924
Comment:
    https://www.ofgem.gov.uk/average-gas-and-electricity-usage</t>
      </text>
    </comment>
    <comment ref="AO11" authorId="3" shapeId="0" xr:uid="{3F556DED-4067-4987-8D1F-DD3F89450A23}">
      <text>
        <r>
          <rPr>
            <b/>
            <sz val="9"/>
            <color indexed="81"/>
            <rFont val="Tahoma"/>
            <family val="2"/>
          </rPr>
          <t>Daniel Lambert:</t>
        </r>
        <r>
          <rPr>
            <sz val="9"/>
            <color indexed="81"/>
            <rFont val="Tahoma"/>
            <family val="2"/>
          </rPr>
          <t xml:space="preserve">
https://www.bbc.co.uk/news/50591261</t>
        </r>
      </text>
    </comment>
    <comment ref="AS11" authorId="4" shapeId="0" xr:uid="{1F23F436-121B-4063-A07D-EA4BA69C75A8}">
      <text>
        <t>[Threaded comment]
Your version of Excel allows you to read this threaded comment; however, any edits to it will get removed if the file is opened in a newer version of Excel. Learn more: https://go.microsoft.com/fwlink/?linkid=870924
Comment:
    Assumptions:
100,000 km/y average HGV mileage
0.25 kg per km average gas truck fuel consumption
15 kWh per kg biomethane energy content
https://www.gov.uk/government/statistics/road-traffic-estimates-in-great-britain-2020</t>
      </text>
    </comment>
    <comment ref="C13" authorId="5" shapeId="0" xr:uid="{FEBB24BB-47E4-4907-8B93-A2D549DA0296}">
      <text>
        <t>[Threaded comment]
Your version of Excel allows you to read this threaded comment; however, any edits to it will get removed if the file is opened in a newer version of Excel. Learn more: https://go.microsoft.com/fwlink/?linkid=870924
Comment:
    Includes straw pre-treatment</t>
      </text>
    </comment>
    <comment ref="AS13" authorId="6" shapeId="0" xr:uid="{89C138B9-DFD9-4250-89E1-AD2235502FAB}">
      <text>
        <t xml:space="preserve">[Threaded comment]
Your version of Excel allows you to read this threaded comment; however, any edits to it will get removed if the file is opened in a newer version of Excel. Learn more: https://go.microsoft.com/fwlink/?linkid=870924
Comment:
    Based on Ofgem's Typical Domestic Consumption Values (TDCV) of 2,900kWh of electricity, see https://www.ofgem.gov.uk/cy/publications/ofgem-updates-price-cap-level-and-tightens-rules-suppliers
Also note this is now 12,000kWh of gas </t>
      </text>
    </comment>
    <comment ref="AS14" authorId="7" shapeId="0" xr:uid="{DFF0CD5E-AC0B-4C61-AE45-EB07A268955E}">
      <text>
        <t>[Threaded comment]
Your version of Excel allows you to read this threaded comment; however, any edits to it will get removed if the file is opened in a newer version of Excel. Learn more: https://go.microsoft.com/fwlink/?linkid=870924
Comment:
    Average efficiency of CCGT in UK - see https://www.statista.com/statistics/548943/thermal-efficiency-gas-turbine-stations-uk/</t>
      </text>
    </comment>
    <comment ref="N19" authorId="3" shapeId="0" xr:uid="{49925ADF-33B7-4B97-BE0E-DC89ECF3055D}">
      <text>
        <r>
          <rPr>
            <b/>
            <sz val="9"/>
            <color indexed="81"/>
            <rFont val="Tahoma"/>
            <family val="2"/>
          </rPr>
          <t>Daniel Lambert:</t>
        </r>
        <r>
          <rPr>
            <sz val="9"/>
            <color indexed="81"/>
            <rFont val="Tahoma"/>
            <family val="2"/>
          </rPr>
          <t xml:space="preserve">
Included in Digester</t>
        </r>
      </text>
    </comment>
    <comment ref="N23" authorId="3" shapeId="0" xr:uid="{B71CD115-D498-4FAB-803E-94EC47904C77}">
      <text>
        <r>
          <rPr>
            <b/>
            <sz val="9"/>
            <color indexed="81"/>
            <rFont val="Tahoma"/>
            <family val="2"/>
          </rPr>
          <t>Daniel Lambert:</t>
        </r>
        <r>
          <rPr>
            <sz val="9"/>
            <color indexed="81"/>
            <rFont val="Tahoma"/>
            <family val="2"/>
          </rPr>
          <t xml:space="preserve">
Included in Digester</t>
        </r>
      </text>
    </comment>
    <comment ref="H24" authorId="3" shapeId="0" xr:uid="{3FAADB92-69B1-45F6-985C-6CB6A2306695}">
      <text>
        <r>
          <rPr>
            <b/>
            <sz val="9"/>
            <color indexed="81"/>
            <rFont val="Tahoma"/>
            <family val="2"/>
          </rPr>
          <t>Daniel Lambert:</t>
        </r>
        <r>
          <rPr>
            <sz val="9"/>
            <color indexed="81"/>
            <rFont val="Tahoma"/>
            <family val="2"/>
          </rPr>
          <t xml:space="preserve">
PPA for night power (cheaper tariff)
Solar for day?</t>
        </r>
      </text>
    </comment>
    <comment ref="H25" authorId="3" shapeId="0" xr:uid="{76A54EB8-32F4-4382-8844-1FF060BDED35}">
      <text>
        <r>
          <rPr>
            <b/>
            <sz val="9"/>
            <color indexed="81"/>
            <rFont val="Tahoma"/>
            <family val="2"/>
          </rPr>
          <t>Daniel Lambert:</t>
        </r>
        <r>
          <rPr>
            <sz val="9"/>
            <color indexed="81"/>
            <rFont val="Tahoma"/>
            <family val="2"/>
          </rPr>
          <t xml:space="preserve">
CHP size for internal purposes (based on Net Calorific Value)</t>
        </r>
      </text>
    </comment>
    <comment ref="G36" authorId="3" shapeId="0" xr:uid="{DF6D7803-2AFB-47E4-BA6B-D1FB262176AE}">
      <text>
        <r>
          <rPr>
            <b/>
            <sz val="9"/>
            <color indexed="81"/>
            <rFont val="Tahoma"/>
            <family val="2"/>
          </rPr>
          <t>Daniel Lambert:</t>
        </r>
        <r>
          <rPr>
            <sz val="9"/>
            <color indexed="81"/>
            <rFont val="Tahoma"/>
            <family val="2"/>
          </rPr>
          <t xml:space="preserve">
If activated and boiler off then must be &gt;100% otherwise model doesn't make sense.</t>
        </r>
      </text>
    </comment>
    <comment ref="H40" authorId="3" shapeId="0" xr:uid="{F4E2D2C8-33CE-4AB4-90A0-F1D712233D36}">
      <text>
        <r>
          <rPr>
            <b/>
            <sz val="9"/>
            <color indexed="81"/>
            <rFont val="Tahoma"/>
            <family val="2"/>
          </rPr>
          <t>Daniel Lambert:</t>
        </r>
        <r>
          <rPr>
            <sz val="9"/>
            <color indexed="81"/>
            <rFont val="Tahoma"/>
            <family val="2"/>
          </rPr>
          <t xml:space="preserve">
CHP size for internal purposes (based on Net Calorific Value)</t>
        </r>
      </text>
    </comment>
    <comment ref="I40" authorId="3" shapeId="0" xr:uid="{FD1D6774-C527-4E91-ADA0-DEF922E6703B}">
      <text>
        <r>
          <rPr>
            <b/>
            <sz val="9"/>
            <color indexed="81"/>
            <rFont val="Tahoma"/>
            <family val="2"/>
          </rPr>
          <t>Daniel Lambert:</t>
        </r>
        <r>
          <rPr>
            <sz val="9"/>
            <color indexed="81"/>
            <rFont val="Tahoma"/>
            <family val="2"/>
          </rPr>
          <t xml:space="preserve">
Size for Amberside model as it is based on Gross Calorific Value</t>
        </r>
      </text>
    </comment>
    <comment ref="G52" authorId="3" shapeId="0" xr:uid="{CAE7BDB1-1FA1-4F69-9DCA-3630A71EF4ED}">
      <text>
        <r>
          <rPr>
            <b/>
            <sz val="9"/>
            <color indexed="81"/>
            <rFont val="Tahoma"/>
            <family val="2"/>
          </rPr>
          <t>Daniel Lambert:</t>
        </r>
        <r>
          <rPr>
            <sz val="9"/>
            <color indexed="81"/>
            <rFont val="Tahoma"/>
            <family val="2"/>
          </rPr>
          <t xml:space="preserve">
If activated and boiler off then must be &gt;100% otherwise model doesn't make sense.</t>
        </r>
      </text>
    </comment>
    <comment ref="H56" authorId="3" shapeId="0" xr:uid="{6BA4BF0B-AE77-424C-B3AE-E62775C89DEF}">
      <text>
        <r>
          <rPr>
            <b/>
            <sz val="9"/>
            <color indexed="81"/>
            <rFont val="Tahoma"/>
            <family val="2"/>
          </rPr>
          <t>Daniel Lambert:</t>
        </r>
        <r>
          <rPr>
            <sz val="9"/>
            <color indexed="81"/>
            <rFont val="Tahoma"/>
            <family val="2"/>
          </rPr>
          <t xml:space="preserve">
CHP size for internal purposes (based on Net Calorific Value)</t>
        </r>
      </text>
    </comment>
    <comment ref="I56" authorId="3" shapeId="0" xr:uid="{803292BC-90C0-40F9-9EF4-1EB84A233A78}">
      <text>
        <r>
          <rPr>
            <b/>
            <sz val="9"/>
            <color indexed="81"/>
            <rFont val="Tahoma"/>
            <family val="2"/>
          </rPr>
          <t>Daniel Lambert:</t>
        </r>
        <r>
          <rPr>
            <sz val="9"/>
            <color indexed="81"/>
            <rFont val="Tahoma"/>
            <family val="2"/>
          </rPr>
          <t xml:space="preserve">
Size for Amberside model as it is based on Gross Calorific Value</t>
        </r>
      </text>
    </comment>
    <comment ref="AO62" authorId="8" shapeId="0" xr:uid="{88E3CA7B-EF1A-49A6-8DC4-7760AC1E0604}">
      <text>
        <t>[Threaded comment]
Your version of Excel allows you to read this threaded comment; however, any edits to it will get removed if the file is opened in a newer version of Excel. Learn more: https://go.microsoft.com/fwlink/?linkid=870924
Comment:
    GCV used for consistency.
Ofgem carbon calc may require LHV - needs double-checking as not clear.</t>
      </text>
    </comment>
    <comment ref="G68" authorId="3" shapeId="0" xr:uid="{B9B6C09C-B38B-415B-A80D-1FFCD662D1AF}">
      <text>
        <r>
          <rPr>
            <b/>
            <sz val="9"/>
            <color indexed="81"/>
            <rFont val="Tahoma"/>
            <family val="2"/>
          </rPr>
          <t>Daniel Lambert:</t>
        </r>
        <r>
          <rPr>
            <sz val="9"/>
            <color indexed="81"/>
            <rFont val="Tahoma"/>
            <family val="2"/>
          </rPr>
          <t xml:space="preserve">
If activated and boiler off then must be &gt;100% otherwise model doesn't make sense.</t>
        </r>
      </text>
    </comment>
    <comment ref="H72" authorId="3" shapeId="0" xr:uid="{A55A6AC3-3DE4-47DC-89E5-31E41E23500B}">
      <text>
        <r>
          <rPr>
            <b/>
            <sz val="9"/>
            <color indexed="81"/>
            <rFont val="Tahoma"/>
            <family val="2"/>
          </rPr>
          <t>Daniel Lambert:</t>
        </r>
        <r>
          <rPr>
            <sz val="9"/>
            <color indexed="81"/>
            <rFont val="Tahoma"/>
            <family val="2"/>
          </rPr>
          <t xml:space="preserve">
CHP size for internal purposes (based on Net Calorific Value)</t>
        </r>
      </text>
    </comment>
    <comment ref="I72" authorId="3" shapeId="0" xr:uid="{5DBA03A6-2177-4A23-A552-68207E01E09A}">
      <text>
        <r>
          <rPr>
            <b/>
            <sz val="9"/>
            <color indexed="81"/>
            <rFont val="Tahoma"/>
            <family val="2"/>
          </rPr>
          <t>Daniel Lambert:</t>
        </r>
        <r>
          <rPr>
            <sz val="9"/>
            <color indexed="81"/>
            <rFont val="Tahoma"/>
            <family val="2"/>
          </rPr>
          <t xml:space="preserve">
Size for Amberside model as it is based on Gross Calorific Value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tc={CB7C8A36-CD11-43B6-8DB1-E8828E17F7D0}</author>
    <author>Daniel Lambert</author>
  </authors>
  <commentList>
    <comment ref="C31" authorId="0" shapeId="0" xr:uid="{CB7C8A36-CD11-43B6-8DB1-E8828E17F7D0}">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@Jose Batista this value has been hard coded. Check </t>
      </text>
    </comment>
    <comment ref="G31" authorId="1" shapeId="0" xr:uid="{7809AA5B-0E87-49A3-832F-E9D24F273336}">
      <text>
        <r>
          <rPr>
            <b/>
            <sz val="9"/>
            <color indexed="81"/>
            <rFont val="Tahoma"/>
            <family val="2"/>
          </rPr>
          <t>Daniel Lambert:</t>
        </r>
        <r>
          <rPr>
            <sz val="9"/>
            <color indexed="81"/>
            <rFont val="Tahoma"/>
            <family val="2"/>
          </rPr>
          <t xml:space="preserve">
Assumes continuous power demand x 2 as rough estimate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Jose Batista</author>
  </authors>
  <commentList>
    <comment ref="C16" authorId="0" shapeId="0" xr:uid="{965C6AD3-791E-4CCB-A4C3-3326BFA39C7E}">
      <text>
        <r>
          <rPr>
            <b/>
            <sz val="9"/>
            <color indexed="81"/>
            <rFont val="Tahoma"/>
            <charset val="1"/>
          </rPr>
          <t>Jose Batista:</t>
        </r>
        <r>
          <rPr>
            <sz val="9"/>
            <color indexed="81"/>
            <rFont val="Tahoma"/>
            <charset val="1"/>
          </rPr>
          <t xml:space="preserve">
source
https://acornbioenergy-my.sharepoint.com/:x:/p/charlie_lywood/ESHjoIbPDLZMssnoak9LnTQBpzddOGz3PeHrp734tKzB-A?rtime=ZLF4iZFH3Ug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Lambert</author>
    <author>Ben Harris</author>
  </authors>
  <commentList>
    <comment ref="BI20" authorId="0" shapeId="0" xr:uid="{CB7B6636-AEB7-4172-A561-38650B10C62D}">
      <text>
        <r>
          <rPr>
            <b/>
            <sz val="9"/>
            <color indexed="81"/>
            <rFont val="Tahoma"/>
            <family val="2"/>
          </rPr>
          <t>Daniel Lambert:</t>
        </r>
        <r>
          <rPr>
            <sz val="9"/>
            <color indexed="81"/>
            <rFont val="Tahoma"/>
            <family val="2"/>
          </rPr>
          <t xml:space="preserve">
Could this be 27t?
Should be as tankers rather than trailers.</t>
        </r>
      </text>
    </comment>
    <comment ref="BF42" authorId="1" shapeId="0" xr:uid="{A9F45711-2B3B-48FB-BA8C-CC67F3001FFD}">
      <text>
        <r>
          <rPr>
            <b/>
            <sz val="9"/>
            <color indexed="81"/>
            <rFont val="Tahoma"/>
            <family val="2"/>
          </rPr>
          <t>Ben Harris:</t>
        </r>
        <r>
          <rPr>
            <sz val="9"/>
            <color indexed="81"/>
            <rFont val="Tahoma"/>
            <family val="2"/>
          </rPr>
          <t xml:space="preserve">
Articulated HVG, &gt;33t, 100% Laden, Total kg CO2e per Mile. Available: https://www.gov.uk/government/publications/greenhouse-gas-reporting-conversion-factors-2023
SCOPE 3 EMISSIONS ONLY - SEE 'FREIGHTING GOODS' TAB</t>
        </r>
      </text>
    </comment>
    <comment ref="BF43" authorId="1" shapeId="0" xr:uid="{7E87327E-EBB0-419C-B078-2DC78A6035FD}">
      <text>
        <r>
          <rPr>
            <b/>
            <sz val="9"/>
            <color indexed="81"/>
            <rFont val="Tahoma"/>
            <family val="2"/>
          </rPr>
          <t>Ben Harris:</t>
        </r>
        <r>
          <rPr>
            <sz val="9"/>
            <color indexed="81"/>
            <rFont val="Tahoma"/>
            <family val="2"/>
          </rPr>
          <t xml:space="preserve">
Articulated HVG, &gt;33t, 0% Laden, Total kg CO2e per Mile. Available: https://www.gov.uk/government/publications/greenhouse-gas-reporting-conversion-factors-2023</t>
        </r>
      </text>
    </comment>
    <comment ref="BF44" authorId="0" shapeId="0" xr:uid="{2636CCB5-B997-4921-BC3B-36B9FE6E1624}">
      <text>
        <r>
          <rPr>
            <b/>
            <sz val="9"/>
            <color indexed="81"/>
            <rFont val="Tahoma"/>
            <family val="2"/>
          </rPr>
          <t>Daniel Lambert:</t>
        </r>
        <r>
          <rPr>
            <sz val="9"/>
            <color indexed="81"/>
            <rFont val="Tahoma"/>
            <family val="2"/>
          </rPr>
          <t xml:space="preserve">
Uses 'HGV (all diesel) Rigid &gt;17t' as analogous to tractor
Available: https://www.gov.uk/government/publications/greenhouse-gas-reporting-conversion-factors-2023
SCOPE 3 EMISSIONS ONLY - SEE 'FREIGHTING GOODS' TAB</t>
        </r>
      </text>
    </comment>
    <comment ref="BF45" authorId="1" shapeId="0" xr:uid="{E000E3DD-53A7-4C05-91F8-FB936EA992C6}">
      <text>
        <r>
          <rPr>
            <b/>
            <sz val="9"/>
            <color indexed="81"/>
            <rFont val="Tahoma"/>
            <family val="2"/>
          </rPr>
          <t>Ben Harris:</t>
        </r>
        <r>
          <rPr>
            <sz val="9"/>
            <color indexed="81"/>
            <rFont val="Tahoma"/>
            <family val="2"/>
          </rPr>
          <t xml:space="preserve">
Uses 'HGV (all diesel) Rigid &gt;17t' as analogous to tractor
Available: https://www.gov.uk/government/publications/greenhouse-gas-reporting-conversion-factors-2023
SCOPE 3 EMISSIONS ONLY - SEE 'FREIGHTING GOODS' TAB</t>
        </r>
      </text>
    </comment>
    <comment ref="BF46" authorId="1" shapeId="0" xr:uid="{ABF0367F-39FA-4B4C-B25A-E250AB3B7C5A}">
      <text>
        <r>
          <rPr>
            <b/>
            <sz val="9"/>
            <color indexed="81"/>
            <rFont val="Tahoma"/>
            <family val="2"/>
          </rPr>
          <t>Ben Harris:</t>
        </r>
        <r>
          <rPr>
            <sz val="9"/>
            <color indexed="81"/>
            <rFont val="Tahoma"/>
            <family val="2"/>
          </rPr>
          <t xml:space="preserve">
Uses 'HGV (all diesel) Rigid &gt;17t' as analogous to tractor
Available: https://www.gov.uk/government/publications/greenhouse-gas-reporting-conversion-factors-2023
SCOPE 3 EMISSIONS ONLY - SEE 'FREIGHTING GOODS' TAB</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Lambert</author>
  </authors>
  <commentList>
    <comment ref="B6" authorId="0" shapeId="0" xr:uid="{93AA6481-60AE-4605-845D-626E8EB03007}">
      <text>
        <r>
          <rPr>
            <b/>
            <sz val="9"/>
            <color indexed="81"/>
            <rFont val="Tahoma"/>
            <family val="2"/>
          </rPr>
          <t>Daniel Lambert:</t>
        </r>
        <r>
          <rPr>
            <sz val="9"/>
            <color indexed="81"/>
            <rFont val="Tahoma"/>
            <family val="2"/>
          </rPr>
          <t xml:space="preserve">
based on V2 = V1 * (P1/P2) * (T2/T1) * (Z2/Z1)</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Daniel Lambert</author>
  </authors>
  <commentList>
    <comment ref="E4" authorId="0" shapeId="0" xr:uid="{D8B011C2-9AF2-4700-AACC-8050EBBE812B}">
      <text>
        <r>
          <rPr>
            <b/>
            <sz val="9"/>
            <color indexed="81"/>
            <rFont val="Tahoma"/>
            <family val="2"/>
          </rPr>
          <t>Daniel Lambert:</t>
        </r>
        <r>
          <rPr>
            <sz val="9"/>
            <color indexed="81"/>
            <rFont val="Tahoma"/>
            <family val="2"/>
          </rPr>
          <t xml:space="preserve">
Value for 'Diesel (average biofuel blend)' in kgCO2e per kWh (Net CV) from 'Fuels' tab, converted into gCO2e/MJ</t>
        </r>
      </text>
    </comment>
    <comment ref="E5" authorId="0" shapeId="0" xr:uid="{AEE56799-D7CC-493A-899A-C9E26D9D34A6}">
      <text>
        <r>
          <rPr>
            <b/>
            <sz val="9"/>
            <color indexed="81"/>
            <rFont val="Tahoma"/>
            <family val="2"/>
          </rPr>
          <t>Daniel Lambert:</t>
        </r>
        <r>
          <rPr>
            <sz val="9"/>
            <color indexed="81"/>
            <rFont val="Tahoma"/>
            <family val="2"/>
          </rPr>
          <t xml:space="preserve">
Value for 'Diesel (average biofuel blend)' in kgCO2e per kWh (Net CV) from 'WTT-Fuels' tab, converted into gCO2e/MJ</t>
        </r>
      </text>
    </comment>
    <comment ref="E7" authorId="0" shapeId="0" xr:uid="{9E06A4B0-18B3-4AD4-BE57-93DF88A4B97B}">
      <text>
        <r>
          <rPr>
            <b/>
            <sz val="9"/>
            <color indexed="81"/>
            <rFont val="Tahoma"/>
            <family val="2"/>
          </rPr>
          <t>Daniel Lambert:</t>
        </r>
        <r>
          <rPr>
            <sz val="9"/>
            <color indexed="81"/>
            <rFont val="Tahoma"/>
            <family val="2"/>
          </rPr>
          <t xml:space="preserve">
Value for Biogas, Net CV from 'Bioenergy' tab in kgCO2e per kWh (Net CV), converted into gCO2e/MJ</t>
        </r>
      </text>
    </comment>
    <comment ref="E8" authorId="0" shapeId="0" xr:uid="{CA43AC8E-D8D5-48B2-BA8E-AF06FE0AEC9C}">
      <text>
        <r>
          <rPr>
            <b/>
            <sz val="9"/>
            <color indexed="81"/>
            <rFont val="Tahoma"/>
            <family val="2"/>
          </rPr>
          <t>Daniel Lambert:</t>
        </r>
        <r>
          <rPr>
            <sz val="9"/>
            <color indexed="81"/>
            <rFont val="Tahoma"/>
            <family val="2"/>
          </rPr>
          <t xml:space="preserve">
Value for Biogas, Net CV from 'WTT-Bioenergy' tab in kgCO2e per kWh (Net CV), converted into gCO2e/MJ</t>
        </r>
      </text>
    </comment>
    <comment ref="E9" authorId="0" shapeId="0" xr:uid="{5B216DAB-3041-475E-A64D-EC112DD8AEEC}">
      <text>
        <r>
          <rPr>
            <b/>
            <sz val="9"/>
            <color indexed="81"/>
            <rFont val="Tahoma"/>
            <family val="2"/>
          </rPr>
          <t>Daniel Lambert:</t>
        </r>
        <r>
          <rPr>
            <sz val="9"/>
            <color indexed="81"/>
            <rFont val="Tahoma"/>
            <family val="2"/>
          </rPr>
          <t xml:space="preserve">
Value for Biogas, Net CV from 'Outside of scopes' tab in kgCO2e per kWh (Net CV), converted into gCO2e/MJ</t>
        </r>
      </text>
    </comment>
    <comment ref="B10" authorId="0" shapeId="0" xr:uid="{AAE27799-F5E2-4FD4-97F3-D05D9378902D}">
      <text>
        <r>
          <rPr>
            <b/>
            <sz val="9"/>
            <color indexed="81"/>
            <rFont val="Tahoma"/>
            <family val="2"/>
          </rPr>
          <t>Daniel Lambert:</t>
        </r>
        <r>
          <rPr>
            <sz val="9"/>
            <color indexed="81"/>
            <rFont val="Tahoma"/>
            <family val="2"/>
          </rPr>
          <t xml:space="preserve">
Net Calorific Value</t>
        </r>
      </text>
    </comment>
    <comment ref="E10" authorId="0" shapeId="0" xr:uid="{FB538580-DDC5-44C2-87E4-02652BE34BFC}">
      <text>
        <r>
          <rPr>
            <b/>
            <sz val="9"/>
            <color indexed="81"/>
            <rFont val="Tahoma"/>
            <family val="2"/>
          </rPr>
          <t>Daniel Lambert:</t>
        </r>
        <r>
          <rPr>
            <sz val="9"/>
            <color indexed="81"/>
            <rFont val="Tahoma"/>
            <family val="2"/>
          </rPr>
          <t xml:space="preserve">
Value for Natural Gas, Net CV from 'Fuels' tab in kgCO2e per kWh (Net CV), converted into gCO2e/MJ</t>
        </r>
      </text>
    </comment>
    <comment ref="B11" authorId="0" shapeId="0" xr:uid="{370EAD08-7656-443F-B063-9ABE6844EA02}">
      <text>
        <r>
          <rPr>
            <b/>
            <sz val="9"/>
            <color indexed="81"/>
            <rFont val="Tahoma"/>
            <family val="2"/>
          </rPr>
          <t>Daniel Lambert:</t>
        </r>
        <r>
          <rPr>
            <sz val="9"/>
            <color indexed="81"/>
            <rFont val="Tahoma"/>
            <family val="2"/>
          </rPr>
          <t xml:space="preserve">
Net Calorific Value</t>
        </r>
      </text>
    </comment>
    <comment ref="E11" authorId="0" shapeId="0" xr:uid="{B929F937-AC9D-4395-8D7E-DE0177AD24CD}">
      <text>
        <r>
          <rPr>
            <b/>
            <sz val="9"/>
            <color indexed="81"/>
            <rFont val="Tahoma"/>
            <family val="2"/>
          </rPr>
          <t>Daniel Lambert:</t>
        </r>
        <r>
          <rPr>
            <sz val="9"/>
            <color indexed="81"/>
            <rFont val="Tahoma"/>
            <family val="2"/>
          </rPr>
          <t xml:space="preserve">
Value for Natural Gas, Net CV from 'WTT-Fuels' tab in kgCO2e per kWh (Net CV), converted into gCO2e/MJ</t>
        </r>
      </text>
    </comment>
    <comment ref="E12" authorId="0" shapeId="0" xr:uid="{EC3918B5-54E2-456E-81F5-B334C02B494E}">
      <text>
        <r>
          <rPr>
            <b/>
            <sz val="9"/>
            <color indexed="81"/>
            <rFont val="Tahoma"/>
            <family val="2"/>
          </rPr>
          <t>Daniel Lambert:</t>
        </r>
        <r>
          <rPr>
            <sz val="9"/>
            <color indexed="81"/>
            <rFont val="Tahoma"/>
            <family val="2"/>
          </rPr>
          <t xml:space="preserve">
Value for Electricity Generated (from 'UK Electricity' tab)</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Charlotte Whittlesea</author>
  </authors>
  <commentList>
    <comment ref="P15" authorId="0" shapeId="0" xr:uid="{7448E8C6-15A9-4DA9-8CEA-127360732665}">
      <text>
        <r>
          <rPr>
            <b/>
            <sz val="9"/>
            <color indexed="81"/>
            <rFont val="Tahoma"/>
            <family val="2"/>
          </rPr>
          <t>Charlotte Whittlesea:</t>
        </r>
        <r>
          <rPr>
            <sz val="9"/>
            <color indexed="81"/>
            <rFont val="Tahoma"/>
            <family val="2"/>
          </rPr>
          <t xml:space="preserve">
Assumption based off Quanto 1600
</t>
        </r>
      </text>
    </comment>
    <comment ref="P27" authorId="0" shapeId="0" xr:uid="{D74F3416-CF26-401B-A93F-A6F8C0D28E97}">
      <text>
        <r>
          <rPr>
            <b/>
            <sz val="9"/>
            <color indexed="81"/>
            <rFont val="Tahoma"/>
            <family val="2"/>
          </rPr>
          <t>Charlotte Whittlesea:</t>
        </r>
        <r>
          <rPr>
            <sz val="9"/>
            <color indexed="81"/>
            <rFont val="Tahoma"/>
            <family val="2"/>
          </rPr>
          <t xml:space="preserve">
Assumption based off Quanto 1600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tc={C0037885-15B2-4472-B8BF-16CD37410269}</author>
    <author>Daniel Lambert</author>
    <author>tc={3B39D255-8D6B-41F6-9DEE-E6C051FAB88E}</author>
  </authors>
  <commentList>
    <comment ref="C4" authorId="0" shapeId="0" xr:uid="{C0037885-15B2-4472-B8BF-16CD37410269}">
      <text>
        <t>[Threaded comment]
Your version of Excel allows you to read this threaded comment; however, any edits to it will get removed if the file is opened in a newer version of Excel. Learn more: https://go.microsoft.com/fwlink/?linkid=870924
Comment:
    Straw Pre-Treatment Type 1</t>
      </text>
    </comment>
    <comment ref="B7" authorId="1" shapeId="0" xr:uid="{58B53D59-7FCC-434A-A848-E971CDA4BCFC}">
      <text>
        <r>
          <rPr>
            <b/>
            <sz val="9"/>
            <color indexed="81"/>
            <rFont val="Tahoma"/>
            <family val="2"/>
          </rPr>
          <t>Daniel Lambert:</t>
        </r>
        <r>
          <rPr>
            <sz val="9"/>
            <color indexed="81"/>
            <rFont val="Tahoma"/>
            <family val="2"/>
          </rPr>
          <t xml:space="preserve">
Assumes that pasteurisation heat is recirculated into digester (this is the reason for 567kW difference between Entec and Thoni pasteurisation)</t>
        </r>
      </text>
    </comment>
    <comment ref="C16" authorId="2" shapeId="0" xr:uid="{3B39D255-8D6B-41F6-9DEE-E6C051FAB88E}">
      <text>
        <t>[Threaded comment]
Your version of Excel allows you to read this threaded comment; however, any edits to it will get removed if the file is opened in a newer version of Excel. Learn more: https://go.microsoft.com/fwlink/?linkid=870924
Comment:
    TO BE CONFIRMED</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<sst xmlns="http://schemas.openxmlformats.org/spreadsheetml/2006/main" count="1817" uniqueCount="887">
  <si>
    <t>Manufacturer</t>
  </si>
  <si>
    <t>Block</t>
  </si>
  <si>
    <t xml:space="preserve">Model </t>
  </si>
  <si>
    <t>Fuel</t>
  </si>
  <si>
    <t>Input (kW)</t>
  </si>
  <si>
    <t>Input (Nm3 p/h) at 100%</t>
  </si>
  <si>
    <t>Output kWh(E)</t>
  </si>
  <si>
    <t>Output kWh(t)</t>
  </si>
  <si>
    <t>Link</t>
  </si>
  <si>
    <t xml:space="preserve">Constants </t>
  </si>
  <si>
    <t>Jennbacher</t>
  </si>
  <si>
    <t>JMS 312 GS-B.L</t>
  </si>
  <si>
    <t>Natural Gas</t>
  </si>
  <si>
    <t>Acorn Bioenergy Shared Files - JMS312GS-BL.pdf - All Documents (sharepoint.com)</t>
  </si>
  <si>
    <t xml:space="preserve">Natural Gas </t>
  </si>
  <si>
    <r>
      <t>kWh m</t>
    </r>
    <r>
      <rPr>
        <vertAlign val="superscript"/>
        <sz val="11"/>
        <color theme="1"/>
        <rFont val="Calibri"/>
        <family val="2"/>
        <scheme val="minor"/>
      </rPr>
      <t>3</t>
    </r>
  </si>
  <si>
    <t>JMS 316 GS-B.L</t>
  </si>
  <si>
    <t>Acorn Bioenergy Shared Files - JMS316GS-BL.pdf - All Documents (sharepoint.com)</t>
  </si>
  <si>
    <t xml:space="preserve">Biogas methane content </t>
  </si>
  <si>
    <t>JMS 320 GS-B.L</t>
  </si>
  <si>
    <t>Acorn Bioenergy Shared Files - JMS320GS-BL.pdf - All Documents (sharepoint.com)</t>
  </si>
  <si>
    <t>JMS 412 GS-B.L</t>
  </si>
  <si>
    <t>Acorn Bioenergy Shared Files - JMS412GS-BL.pdf - All Documents (sharepoint.com)</t>
  </si>
  <si>
    <t>JMS 416 GS-B.L</t>
  </si>
  <si>
    <t>Acorn Bioenergy Shared Files - JMS416GS-BL.pdf - All Documents (sharepoint.com)</t>
  </si>
  <si>
    <t>JMS 420 GS-B.L</t>
  </si>
  <si>
    <t>Acorn Bioenergy Shared Files - JMS420GS-BL.pdf - All Documents (sharepoint.com)</t>
  </si>
  <si>
    <t>JMS 612 GS-B.L</t>
  </si>
  <si>
    <t>Acorn Bioenergy Shared Files - JMS612GS-BL.pdf - All Documents (sharepoint.com)</t>
  </si>
  <si>
    <t>JMS 616 GS-B.L</t>
  </si>
  <si>
    <t>Acorn Bioenergy Shared Files - JMS616GS-BL.pdf - All Documents (sharepoint.com)</t>
  </si>
  <si>
    <t>2G</t>
  </si>
  <si>
    <t>Liebherr</t>
  </si>
  <si>
    <t>Avus 1000plus EG</t>
  </si>
  <si>
    <t>Acorn Bioenergy Shared Files - TSP_ct80-1_50Hz_400V_250NOx__2263462.pdf - All Documents (sharepoint.com)</t>
  </si>
  <si>
    <t>MTU</t>
  </si>
  <si>
    <t>Avus 1200e</t>
  </si>
  <si>
    <t>Acorn Bioenergy Shared Files - TSP_12V4000 L64FNER_50Hz_400V_250NOx_MZ70__2686765.pdf - All Documents (sharepoint.com)</t>
  </si>
  <si>
    <t>Biogas (55%)</t>
  </si>
  <si>
    <t xml:space="preserve">Viessman </t>
  </si>
  <si>
    <t>Vitoplex</t>
  </si>
  <si>
    <t>-</t>
  </si>
  <si>
    <t>Acorn Bioenergy Shared Files - 5797355VDP00003_1-Data-Sheet-620-2000kW.pdf - All Documents (sharepoint.com)</t>
  </si>
  <si>
    <t>Biogas</t>
  </si>
  <si>
    <t xml:space="preserve">Scenario 1 </t>
  </si>
  <si>
    <t>Biogas/Natural Gas CHP</t>
  </si>
  <si>
    <t>Grid  Connection</t>
  </si>
  <si>
    <t>Grid Connection</t>
  </si>
  <si>
    <t>Import</t>
  </si>
  <si>
    <t>Scenario 2</t>
  </si>
  <si>
    <t>Scenario 3</t>
  </si>
  <si>
    <t>Biogas Boiler/Natural Gas CHP x1</t>
  </si>
  <si>
    <t>Scenario 4</t>
  </si>
  <si>
    <t>All Biogas CHP</t>
  </si>
  <si>
    <t>Scenario 5</t>
  </si>
  <si>
    <t xml:space="preserve">Biogas/Natural Gas CHP &amp; Biogas Boiler </t>
  </si>
  <si>
    <t>Scenario 6</t>
  </si>
  <si>
    <t xml:space="preserve">Natural Gas CHP (J412) x2 &amp; Biogas Boiler </t>
  </si>
  <si>
    <t>Scenario 7</t>
  </si>
  <si>
    <t>Scenario</t>
  </si>
  <si>
    <r>
      <t>Biogas Production (Nm</t>
    </r>
    <r>
      <rPr>
        <u/>
        <vertAlign val="superscript"/>
        <sz val="11"/>
        <color theme="1"/>
        <rFont val="Calibri"/>
        <family val="2"/>
        <scheme val="minor"/>
      </rPr>
      <t>3</t>
    </r>
    <r>
      <rPr>
        <u/>
        <sz val="11"/>
        <color theme="1"/>
        <rFont val="Calibri"/>
        <family val="2"/>
        <scheme val="minor"/>
      </rPr>
      <t xml:space="preserve"> per hour)</t>
    </r>
  </si>
  <si>
    <t>Natural Gas usage (Nm3 per hour)</t>
  </si>
  <si>
    <r>
      <t>Biomethane Production (Nm</t>
    </r>
    <r>
      <rPr>
        <u/>
        <vertAlign val="superscript"/>
        <sz val="11"/>
        <color theme="1"/>
        <rFont val="Calibri"/>
        <family val="2"/>
        <scheme val="minor"/>
      </rPr>
      <t>3</t>
    </r>
    <r>
      <rPr>
        <u/>
        <sz val="11"/>
        <color theme="1"/>
        <rFont val="Calibri"/>
        <family val="2"/>
        <scheme val="minor"/>
      </rPr>
      <t xml:space="preserve"> per hour)</t>
    </r>
  </si>
  <si>
    <t>Total Output (kWhE)</t>
  </si>
  <si>
    <t>Total Output (kWhT)</t>
  </si>
  <si>
    <t>Biogas Production</t>
  </si>
  <si>
    <t xml:space="preserve">Biomethane Production </t>
  </si>
  <si>
    <t>Entec</t>
  </si>
  <si>
    <t>CH4%</t>
  </si>
  <si>
    <t>Heat</t>
  </si>
  <si>
    <t>Power</t>
  </si>
  <si>
    <t>Losses</t>
  </si>
  <si>
    <t>CH4</t>
  </si>
  <si>
    <t>Energy</t>
  </si>
  <si>
    <t>CO2</t>
  </si>
  <si>
    <t>Total</t>
  </si>
  <si>
    <t>Natural gas</t>
  </si>
  <si>
    <t>Uptime</t>
  </si>
  <si>
    <t>Total heat</t>
  </si>
  <si>
    <t>Surplus heat</t>
  </si>
  <si>
    <t>Surplus power</t>
  </si>
  <si>
    <t>Pasteuriser</t>
  </si>
  <si>
    <t>Compressors</t>
  </si>
  <si>
    <t>% of total</t>
  </si>
  <si>
    <t>Carbon intensity (gCO2e/MJ)</t>
  </si>
  <si>
    <t>No</t>
  </si>
  <si>
    <t>Crop yield (tonnes of feedstock per hectare)</t>
  </si>
  <si>
    <t>Hectares of cultivation</t>
  </si>
  <si>
    <t>kgCO2e/yr</t>
  </si>
  <si>
    <t>gCO2e/MJ</t>
  </si>
  <si>
    <t>kg/ha</t>
  </si>
  <si>
    <t>Soil N2O emissions - digestate</t>
  </si>
  <si>
    <t>Seeds</t>
  </si>
  <si>
    <t>Pesticide</t>
  </si>
  <si>
    <t>On-farm fuel use (assuming diesel)</t>
  </si>
  <si>
    <t>litres/ha</t>
  </si>
  <si>
    <t>MJ/tonne of feedstock</t>
  </si>
  <si>
    <t>NCV</t>
  </si>
  <si>
    <t>Straw</t>
  </si>
  <si>
    <t>Energy injected into the grid</t>
  </si>
  <si>
    <t>Total CO2 intensity biomethane</t>
  </si>
  <si>
    <t>CO2 that would have been emitted natural gas</t>
  </si>
  <si>
    <t>Saving vs natural gas</t>
  </si>
  <si>
    <t>results in GHG savings of</t>
  </si>
  <si>
    <t>equivalent to the CO2 sequestered by</t>
  </si>
  <si>
    <t>mature trees</t>
  </si>
  <si>
    <t>football pitch = 7700m2; average 1750 trees per hectare = 1348 trees per football field</t>
  </si>
  <si>
    <t>football pitches</t>
  </si>
  <si>
    <t>cars</t>
  </si>
  <si>
    <t>households</t>
  </si>
  <si>
    <t>t/y/car</t>
  </si>
  <si>
    <t>kg/y/tree</t>
  </si>
  <si>
    <t>t/y/tree</t>
  </si>
  <si>
    <t>Bright</t>
  </si>
  <si>
    <t>kWh per Nm3 (LHV)</t>
  </si>
  <si>
    <t>MJ per Nm3 (LHV)</t>
  </si>
  <si>
    <t>MJ per Nm3 (HHV)</t>
  </si>
  <si>
    <t>kWh per Nm3 (HHV)</t>
  </si>
  <si>
    <t>kWh/Nm3</t>
  </si>
  <si>
    <t>HP compression</t>
  </si>
  <si>
    <t>Bauer</t>
  </si>
  <si>
    <t>kWh/kg</t>
  </si>
  <si>
    <t>Scenario 8</t>
  </si>
  <si>
    <t xml:space="preserve">500kVa generator </t>
  </si>
  <si>
    <t>Perkins</t>
  </si>
  <si>
    <t>Diesel</t>
  </si>
  <si>
    <t>XL500PO</t>
  </si>
  <si>
    <t>500kVA Open Generator | Perkins Diesel Generator 500kVA (hampshiregenerators.co.uk)</t>
  </si>
  <si>
    <t>all values in Nm3 and GCV except where indicated</t>
  </si>
  <si>
    <t>Natural Gas CHP x2 (J320) &amp; Biogas boiler</t>
  </si>
  <si>
    <t>MWhs per year of gas consumed</t>
  </si>
  <si>
    <t>HHV/LHV conversion</t>
  </si>
  <si>
    <t>Agraferm</t>
  </si>
  <si>
    <t>BioGest</t>
  </si>
  <si>
    <t xml:space="preserve">Thoni </t>
  </si>
  <si>
    <t>Feedstock (Inputs)</t>
  </si>
  <si>
    <t>Category</t>
  </si>
  <si>
    <t>Dry Matter
(%)</t>
  </si>
  <si>
    <t>Volatile Solids
(%)</t>
  </si>
  <si>
    <t>Methane Content
(%)</t>
  </si>
  <si>
    <t>Rye Silage</t>
  </si>
  <si>
    <t>Grass Silage</t>
  </si>
  <si>
    <t>Tedom</t>
  </si>
  <si>
    <t>MWM</t>
  </si>
  <si>
    <t>Acorn Bioenergy Shared Files - Acorn. 1051040 - 800kWe BIO.pdf - All Documents (sharepoint.com)</t>
  </si>
  <si>
    <t xml:space="preserve">Tedom </t>
  </si>
  <si>
    <t>Quanto 1600</t>
  </si>
  <si>
    <t>BUU</t>
  </si>
  <si>
    <t>P in own digestate
kg/t</t>
  </si>
  <si>
    <t>K in own digestate
kg/t</t>
  </si>
  <si>
    <t>P from own digestate
kg/ha</t>
  </si>
  <si>
    <t>K from own digestate
kg/ha</t>
  </si>
  <si>
    <t>Total digestate used
tonnes/y</t>
  </si>
  <si>
    <t>Own Digestate used
tonnes/ha</t>
  </si>
  <si>
    <t>kgCO2-eq/kg</t>
  </si>
  <si>
    <t>N/A</t>
  </si>
  <si>
    <t>Acorn digestate</t>
  </si>
  <si>
    <t>Lime fertiliser (CaO)</t>
  </si>
  <si>
    <t>kgCO2-eq/yr</t>
  </si>
  <si>
    <t>kgCO2-eq/litre</t>
  </si>
  <si>
    <t>Emissions kgCO2e/y</t>
  </si>
  <si>
    <t>Ensiling Process</t>
  </si>
  <si>
    <t>MJ per tonne of feedstock</t>
  </si>
  <si>
    <t>10% loss of efficiency factor</t>
  </si>
  <si>
    <t>Biogas Boiler emissions</t>
  </si>
  <si>
    <t>Imported Power emissions</t>
  </si>
  <si>
    <t>Surplus Energy emissions</t>
  </si>
  <si>
    <t>Methane Slip downstream</t>
  </si>
  <si>
    <t>Methane Slip upstream</t>
  </si>
  <si>
    <t>Injection at Hub</t>
  </si>
  <si>
    <t>gCO2eq/MJ diesel emissions</t>
  </si>
  <si>
    <t>Transport to Point of Use</t>
  </si>
  <si>
    <t>Hampshire Generators</t>
  </si>
  <si>
    <t>TJ738DW5A TEKSAN DOOSAN GENERATOR 740KVA - UK Stocks (generatorsas.co.uk)</t>
  </si>
  <si>
    <t>Teksan</t>
  </si>
  <si>
    <t>Doosan</t>
  </si>
  <si>
    <t>Energy conversion assumptions</t>
  </si>
  <si>
    <t>Normal conditions: 0 C and 1 atm, equal to 1.013 bar</t>
  </si>
  <si>
    <t>Standard conditions: 15 C and 1 atm, equal to 1.013 bar</t>
  </si>
  <si>
    <t>LHV/HHV conversion factor</t>
  </si>
  <si>
    <t>Nm3 to Sm3 conversion factor</t>
  </si>
  <si>
    <t>https://checalc.com/solved/volconv.html</t>
  </si>
  <si>
    <t>LHV of methane at Normal conditions</t>
  </si>
  <si>
    <t>MJ/Nm3</t>
  </si>
  <si>
    <t>https://www.engineeringtoolbox.com/fuels-higher-calorific-values-d_169.html</t>
  </si>
  <si>
    <t>LHV of methane at Standard conditions</t>
  </si>
  <si>
    <t>MJ/Sm3</t>
  </si>
  <si>
    <t>using Nm3 to Sm3 conversion factor</t>
  </si>
  <si>
    <t>HHV of methane at Normal conditions</t>
  </si>
  <si>
    <t>HHV of methane at Standard conditions</t>
  </si>
  <si>
    <t>kg of methane per m3 at Normal conditions</t>
  </si>
  <si>
    <t>kg/Nm3</t>
  </si>
  <si>
    <t>kg of methane per m3 at Standard conditions</t>
  </si>
  <si>
    <t>kg/Sm3</t>
  </si>
  <si>
    <t>https://cdm.unfccc.int/methodologies/inputsconsmeth/MGM_methane.pdf</t>
  </si>
  <si>
    <t>MJ of methane per kg (LHV - checked vs Nm3)</t>
  </si>
  <si>
    <t>MJ/kg</t>
  </si>
  <si>
    <t>consistent with https://www.engineeringtoolbox.com/fuels-higher-calorific-values-d_169.html, and BEIS value of 50 MJ</t>
  </si>
  <si>
    <t>MJ of methane per kg (LHV - checked vs Sm3)</t>
  </si>
  <si>
    <t>MJ of methane per kg (HHV - checked vs Nm3)</t>
  </si>
  <si>
    <t>consistent with https://www.engineeringtoolbox.com/fuels-higher-calorific-values-d_169.html, and close to BEIS value of 55.4 MJ</t>
  </si>
  <si>
    <t>MJ of methane per kg (HHV - checked vs Sm3)</t>
  </si>
  <si>
    <t>...in kWh</t>
  </si>
  <si>
    <t>MJ per kWh</t>
  </si>
  <si>
    <t>MJ</t>
  </si>
  <si>
    <t>standard conversion</t>
  </si>
  <si>
    <t>kWh/Sm3</t>
  </si>
  <si>
    <t>kWh of methane per kg (LHV - checked vs Nm3)</t>
  </si>
  <si>
    <t>consistent with BEIS</t>
  </si>
  <si>
    <t>kWh of methane per kg (LHV - checked vs Sm3)</t>
  </si>
  <si>
    <t>kWh of methane per kg (HHV - checked vs Nm3)</t>
  </si>
  <si>
    <t>BEIS value is 15.39</t>
  </si>
  <si>
    <t>kWh of methane per kg (HHV - checked vs Sm3)</t>
  </si>
  <si>
    <t>..in mmBTU</t>
  </si>
  <si>
    <t>1000 Sm3 =</t>
  </si>
  <si>
    <t>Nm3</t>
  </si>
  <si>
    <t>https://www.traditionaloven.com/conversions_of_measures/gas_flows_converter_tool.html</t>
  </si>
  <si>
    <t>MJ per mmBTU</t>
  </si>
  <si>
    <t>mmBTU per Sm3</t>
  </si>
  <si>
    <t>mmBTU</t>
  </si>
  <si>
    <t>MJ per Sm3</t>
  </si>
  <si>
    <t>mmBTU per Nm3</t>
  </si>
  <si>
    <t>MJ per Nm3</t>
  </si>
  <si>
    <t>kWh per mmBTU</t>
  </si>
  <si>
    <t>MWh per mmBTU</t>
  </si>
  <si>
    <t>https://airpack.nl/tools/capacity/sm3-hr-nm3-hr-conversion/</t>
  </si>
  <si>
    <t>if used to generate power</t>
  </si>
  <si>
    <t>Gas to power conversion</t>
  </si>
  <si>
    <t>households heating requirement</t>
  </si>
  <si>
    <t>Parasitics</t>
  </si>
  <si>
    <t>Hub</t>
  </si>
  <si>
    <t>Biogas Boiler</t>
  </si>
  <si>
    <t>IMW</t>
  </si>
  <si>
    <t>DMT</t>
  </si>
  <si>
    <t>Tech provider</t>
  </si>
  <si>
    <t>Wartsila</t>
  </si>
  <si>
    <t>AD plants</t>
  </si>
  <si>
    <t>Unit Heat requirement</t>
  </si>
  <si>
    <t>Unit Power requirement</t>
  </si>
  <si>
    <t>Assumed production</t>
  </si>
  <si>
    <t>https://acornbioenergy.sharepoint.com/:b:/s/AcornBioenergySharedFiles/EXCsOKZXYj9OmFjbM2BVSZgB3-rAhEfHHaNSa3l4U75eQA?e=ql41HD</t>
  </si>
  <si>
    <t>https://acornbioenergy.sharepoint.com/:b:/s/AcornBioenergySharedFiles/EW_awLvGbAFBkhlOUxcEaCoBmKIaVuifT5qBs6ld8YKY0Q?e=1qwnfV</t>
  </si>
  <si>
    <t>https://acornbioenergy.sharepoint.com/:b:/s/AcornBioenergySharedFiles/EV4R0uS95oFKgBjiqM1tWlkBtat0Hn48I_JSq4sDXv9FDA?e=vxnSt9</t>
  </si>
  <si>
    <t>CO2 Upgrader</t>
  </si>
  <si>
    <t>Biogas Upgrader</t>
  </si>
  <si>
    <t>LCO2 power requirement</t>
  </si>
  <si>
    <t>Total power (excl. import)</t>
  </si>
  <si>
    <t>% of AD heat</t>
  </si>
  <si>
    <t>Efficiency kWh(t)</t>
  </si>
  <si>
    <t>Efficiency kWh(E)</t>
  </si>
  <si>
    <t>CHP2 (natural gas)</t>
  </si>
  <si>
    <t>Imported Power</t>
  </si>
  <si>
    <t>HP Compressors</t>
  </si>
  <si>
    <t>Total power (incl. import)</t>
  </si>
  <si>
    <t>Dispensing</t>
  </si>
  <si>
    <t>per load</t>
  </si>
  <si>
    <t>ca. 10 tonnes buffer storage. When buffer storage is full, upgraded biogas is diverted into CHP2</t>
  </si>
  <si>
    <t>per fuelling</t>
  </si>
  <si>
    <t>Comments</t>
  </si>
  <si>
    <t>running at % of size</t>
  </si>
  <si>
    <t>Product</t>
  </si>
  <si>
    <t>SM3 per NM3</t>
  </si>
  <si>
    <r>
      <t>US Gallons per m</t>
    </r>
    <r>
      <rPr>
        <vertAlign val="superscript"/>
        <sz val="10"/>
        <color rgb="FF3F3F3F"/>
        <rFont val="Verdana"/>
        <family val="2"/>
      </rPr>
      <t>3</t>
    </r>
  </si>
  <si>
    <t>MJ/Btu</t>
  </si>
  <si>
    <t>Btu per MJ</t>
  </si>
  <si>
    <t>Btu per kWh</t>
  </si>
  <si>
    <r>
      <t>scf per m</t>
    </r>
    <r>
      <rPr>
        <vertAlign val="superscript"/>
        <sz val="11"/>
        <color rgb="FF000000"/>
        <rFont val="Verdana"/>
        <family val="2"/>
      </rPr>
      <t>3</t>
    </r>
  </si>
  <si>
    <t>lb per kg</t>
  </si>
  <si>
    <t>MJ per MWh</t>
  </si>
  <si>
    <t>Value</t>
  </si>
  <si>
    <t>Unit Conversion</t>
  </si>
  <si>
    <t>ISCC 205</t>
  </si>
  <si>
    <t>l/km</t>
  </si>
  <si>
    <t>Truck</t>
  </si>
  <si>
    <t>Source</t>
  </si>
  <si>
    <t>Unit</t>
  </si>
  <si>
    <t>Mode</t>
  </si>
  <si>
    <t>Transport Fuel Consumption Factors (Unloaded)</t>
  </si>
  <si>
    <t>Transport Fuel Consumption Factors (Loaded)</t>
  </si>
  <si>
    <t>http://www.engineeringtoolbox.com/fuels-higher-calorific-values-d_169.html</t>
  </si>
  <si>
    <r>
      <t>kg/m</t>
    </r>
    <r>
      <rPr>
        <vertAlign val="superscript"/>
        <sz val="10"/>
        <color rgb="FF3F3F3F"/>
        <rFont val="Verdana"/>
        <family val="2"/>
      </rPr>
      <t>3</t>
    </r>
  </si>
  <si>
    <t>Propane</t>
  </si>
  <si>
    <t>http://www.engineeringtoolbox.com/gas-density-d_158.html</t>
  </si>
  <si>
    <t xml:space="preserve">Methane </t>
  </si>
  <si>
    <t>Biomethane</t>
  </si>
  <si>
    <t>Biograce Version 4</t>
  </si>
  <si>
    <t>Gasoline</t>
  </si>
  <si>
    <t>HFO</t>
  </si>
  <si>
    <t>Fuel Densities</t>
  </si>
  <si>
    <t>Ethanol</t>
  </si>
  <si>
    <t>Hydrogen</t>
  </si>
  <si>
    <t>Methane (HHV)</t>
  </si>
  <si>
    <t>MJ/m3</t>
  </si>
  <si>
    <t>Methane</t>
  </si>
  <si>
    <t>https://www.gov.uk/government/statistics/dukes-calorific-values</t>
  </si>
  <si>
    <r>
      <t>MJ/m</t>
    </r>
    <r>
      <rPr>
        <vertAlign val="superscript"/>
        <sz val="10"/>
        <color rgb="FF3F3F3F"/>
        <rFont val="Verdana"/>
        <family val="2"/>
      </rPr>
      <t>3</t>
    </r>
  </si>
  <si>
    <t>Natural Gas (HHV)</t>
  </si>
  <si>
    <t>Natural Gas (LHV)</t>
  </si>
  <si>
    <t>Renewable Energy Directive</t>
  </si>
  <si>
    <t>MJ/l</t>
  </si>
  <si>
    <t>Methanol</t>
  </si>
  <si>
    <t>Source[2]</t>
  </si>
  <si>
    <t>Value[2]</t>
  </si>
  <si>
    <t>Unit[2]</t>
  </si>
  <si>
    <t>Fuel Heating Values (All LHV except where noted)</t>
  </si>
  <si>
    <r>
      <t>gCO</t>
    </r>
    <r>
      <rPr>
        <vertAlign val="subscript"/>
        <sz val="10"/>
        <color rgb="FF3F3F3F"/>
        <rFont val="Verdana"/>
        <family val="2"/>
      </rPr>
      <t>2eq</t>
    </r>
    <r>
      <rPr>
        <sz val="10"/>
        <color rgb="FF3F3F3F"/>
        <rFont val="Verdana"/>
        <family val="2"/>
      </rPr>
      <t>/g</t>
    </r>
  </si>
  <si>
    <t>N2O</t>
  </si>
  <si>
    <t>Gas</t>
  </si>
  <si>
    <t>Global warming potentials</t>
  </si>
  <si>
    <t>Conversion Factors</t>
  </si>
  <si>
    <t>Fuel emission factors</t>
  </si>
  <si>
    <r>
      <t>gCO</t>
    </r>
    <r>
      <rPr>
        <vertAlign val="subscript"/>
        <sz val="10"/>
        <color rgb="FF000000"/>
        <rFont val="Arial"/>
        <family val="2"/>
      </rPr>
      <t>2eq</t>
    </r>
    <r>
      <rPr>
        <sz val="10"/>
        <color rgb="FF000000"/>
        <rFont val="Arial"/>
        <family val="2"/>
      </rPr>
      <t>/MJ</t>
    </r>
  </si>
  <si>
    <t>Natural Gas (EU)</t>
  </si>
  <si>
    <t>Natural Gas (Russia)</t>
  </si>
  <si>
    <r>
      <t>kgCO</t>
    </r>
    <r>
      <rPr>
        <vertAlign val="subscript"/>
        <sz val="10"/>
        <color rgb="FF000000"/>
        <rFont val="Arial"/>
        <family val="2"/>
      </rPr>
      <t>2eq</t>
    </r>
    <r>
      <rPr>
        <sz val="10"/>
        <color rgb="FF000000"/>
        <rFont val="Arial"/>
        <family val="2"/>
      </rPr>
      <t>/scf</t>
    </r>
  </si>
  <si>
    <t>https://www.epa.gov/sites/production/files/2015-07/documents/emission-factors_2014.pdf</t>
  </si>
  <si>
    <t>Calculated</t>
  </si>
  <si>
    <t>Electricity (EU mix LV)</t>
  </si>
  <si>
    <t>Electricity (EU mix MV)</t>
  </si>
  <si>
    <t>Electricity (UK mix)</t>
  </si>
  <si>
    <t>Based on own biogas in this model</t>
  </si>
  <si>
    <t>Nitrous oxide emissions</t>
  </si>
  <si>
    <t>kgCO2eq/ha</t>
  </si>
  <si>
    <t>N-fertiliser (kg N)</t>
  </si>
  <si>
    <t>gCO2-eq/kg</t>
  </si>
  <si>
    <t>P2O5-fertiliser (kg P2O5)</t>
  </si>
  <si>
    <t>K2O-fertiliser (kg K2O)</t>
  </si>
  <si>
    <t>Digestate</t>
  </si>
  <si>
    <t>CaO-fertiliser (kg CaO)</t>
  </si>
  <si>
    <t>Pesticides</t>
  </si>
  <si>
    <t>Rye seeds</t>
  </si>
  <si>
    <t>Grass seeds</t>
  </si>
  <si>
    <t>Maize seeds</t>
  </si>
  <si>
    <t>Soil N2O emissions - unspecified mineral N fertiliser on arable</t>
  </si>
  <si>
    <t>kgCO2-eq/kg N fertiliser</t>
  </si>
  <si>
    <t>Soil N2O emissions - unspecified mineral N fertiliser on grassland</t>
  </si>
  <si>
    <t>Biogas production</t>
  </si>
  <si>
    <t>Nm3 of biogas</t>
  </si>
  <si>
    <t>Feedstocks</t>
  </si>
  <si>
    <t>Tonnage</t>
  </si>
  <si>
    <t>Rye Silage (total)</t>
  </si>
  <si>
    <t>HGV</t>
  </si>
  <si>
    <t>Tractor</t>
  </si>
  <si>
    <t>Trips in Distance Zone HGV</t>
  </si>
  <si>
    <t>Grass Silage (total)</t>
  </si>
  <si>
    <t>Slurry</t>
  </si>
  <si>
    <t>Trips in Distance Zone Tractor</t>
  </si>
  <si>
    <t>Distance travelled per Zone HGV (Miles)</t>
  </si>
  <si>
    <t>Carbon</t>
  </si>
  <si>
    <t>100% Laden</t>
  </si>
  <si>
    <t>0% Laden</t>
  </si>
  <si>
    <t>Carbon Intensity of Tractor (Total kg CO2e per mile)</t>
  </si>
  <si>
    <t>Distance travelled per Zone Tractor (Miles)</t>
  </si>
  <si>
    <t>Outward Trip</t>
  </si>
  <si>
    <t>Return Trip</t>
  </si>
  <si>
    <t>Output temp of CHP</t>
  </si>
  <si>
    <t>Heat from CHP 1</t>
  </si>
  <si>
    <t>Heat from CHP 2</t>
  </si>
  <si>
    <t>Heat from other</t>
  </si>
  <si>
    <t>Heat from boiler</t>
  </si>
  <si>
    <t>Imported power</t>
  </si>
  <si>
    <t>Power from CHP 1</t>
  </si>
  <si>
    <t>Power from CHP 2</t>
  </si>
  <si>
    <t>Unmet requirement</t>
  </si>
  <si>
    <t>Digesters</t>
  </si>
  <si>
    <t>Power from generator</t>
  </si>
  <si>
    <t>Surplus</t>
  </si>
  <si>
    <t>Check</t>
  </si>
  <si>
    <r>
      <t xml:space="preserve">Emissions (Out of Scope) </t>
    </r>
    <r>
      <rPr>
        <b/>
        <sz val="11"/>
        <color rgb="FF000000"/>
        <rFont val="Calibri"/>
        <family val="2"/>
      </rPr>
      <t>gCO2e/MJ</t>
    </r>
  </si>
  <si>
    <r>
      <t>Emissions (Scope 3)</t>
    </r>
    <r>
      <rPr>
        <b/>
        <sz val="11"/>
        <color rgb="FF000000"/>
        <rFont val="Calibri"/>
        <family val="2"/>
      </rPr>
      <t xml:space="preserve"> gCO2e/MJ</t>
    </r>
  </si>
  <si>
    <r>
      <t xml:space="preserve">Emissions (Scope 2) </t>
    </r>
    <r>
      <rPr>
        <b/>
        <sz val="11"/>
        <color rgb="FF000000"/>
        <rFont val="Calibri"/>
        <family val="2"/>
      </rPr>
      <t>gCO2e/MJ</t>
    </r>
  </si>
  <si>
    <r>
      <t xml:space="preserve">Emissions (Scope 1) </t>
    </r>
    <r>
      <rPr>
        <b/>
        <sz val="11"/>
        <color rgb="FF000000"/>
        <rFont val="Calibri"/>
        <family val="2"/>
      </rPr>
      <t>gCO2e/MJ</t>
    </r>
  </si>
  <si>
    <t>Kelvins</t>
  </si>
  <si>
    <t>kg/a</t>
  </si>
  <si>
    <t>g CO2e/MJ</t>
  </si>
  <si>
    <t>Crop N requirement</t>
  </si>
  <si>
    <t>Crop K requirement</t>
  </si>
  <si>
    <t>Crop P requirement</t>
  </si>
  <si>
    <t>Available to crop</t>
  </si>
  <si>
    <t>Readily available P
kg/t</t>
  </si>
  <si>
    <t>Readily available K
kg/t</t>
  </si>
  <si>
    <t>Own digestate used in application 1
tonnes/ha</t>
  </si>
  <si>
    <t>N use efficiency in application 1</t>
  </si>
  <si>
    <t>Total N in own digestate
kg/t</t>
  </si>
  <si>
    <t>Own digestate used in application 2
tonnes/ha</t>
  </si>
  <si>
    <t>N use efficiency in application 2</t>
  </si>
  <si>
    <t>kg/year</t>
  </si>
  <si>
    <t>litres of diesel/year</t>
  </si>
  <si>
    <t>Harvesting of Feedstocks (assuming diesel)</t>
  </si>
  <si>
    <t>Contingency</t>
  </si>
  <si>
    <t>Emissions
kgCO2e/y</t>
  </si>
  <si>
    <t>Emissions
 kgCO2e/y</t>
  </si>
  <si>
    <t>N from own digestate (CAN?)
kg/ha</t>
  </si>
  <si>
    <t>HGV 100% Laden</t>
  </si>
  <si>
    <t>HGV 0% Laden</t>
  </si>
  <si>
    <t>Tractor 100% Laden</t>
  </si>
  <si>
    <t>Tractor 0% Laden</t>
  </si>
  <si>
    <t>Mode of Transport</t>
  </si>
  <si>
    <t>Month</t>
  </si>
  <si>
    <t>Days in Month</t>
  </si>
  <si>
    <t>Jan</t>
  </si>
  <si>
    <t>Feb</t>
  </si>
  <si>
    <t>Mar</t>
  </si>
  <si>
    <t>Apr</t>
  </si>
  <si>
    <t>May</t>
  </si>
  <si>
    <t>Jun</t>
  </si>
  <si>
    <t>Jul</t>
  </si>
  <si>
    <t>Aug</t>
  </si>
  <si>
    <t>Sep</t>
  </si>
  <si>
    <t>Oct</t>
  </si>
  <si>
    <t>Nov</t>
  </si>
  <si>
    <t>Dec</t>
  </si>
  <si>
    <t>Total Demand (t)</t>
  </si>
  <si>
    <t>Monthly heat demand (kWh)</t>
  </si>
  <si>
    <t>Pasteuriser cont. heat demand (850kW during ramp)</t>
  </si>
  <si>
    <t>Consumed energy per day (kWh)</t>
  </si>
  <si>
    <t>Continuous energy demand (kWh)</t>
  </si>
  <si>
    <t>Max Energy Demand (kWh)</t>
  </si>
  <si>
    <t>Air Compressor</t>
  </si>
  <si>
    <t>Separator 1</t>
  </si>
  <si>
    <t>Separator 2</t>
  </si>
  <si>
    <t xml:space="preserve">CNG Compression </t>
  </si>
  <si>
    <t xml:space="preserve">CO2 Liquefaction </t>
  </si>
  <si>
    <t xml:space="preserve">TOTAL </t>
  </si>
  <si>
    <t>Methane loss (kg p.a.)</t>
  </si>
  <si>
    <t>Heat requirement (MWh p.a.)</t>
  </si>
  <si>
    <t>Power requirement (MWh p.a.)</t>
  </si>
  <si>
    <t>CO2e emissions from heat (kg/year)</t>
  </si>
  <si>
    <t>CO2e emissions from power (kg/year)</t>
  </si>
  <si>
    <t>CO2e emissions from methane (kg/year)</t>
  </si>
  <si>
    <t>Carbon Intensity of HGV (Total kg CO2e per mile)</t>
  </si>
  <si>
    <t>gCO2-eq/MJ</t>
  </si>
  <si>
    <t>Proportion of emissions to this project</t>
  </si>
  <si>
    <t>Emissions related to Injection at Hub
kgCO2e/y</t>
  </si>
  <si>
    <t>Power requirement at hub
kWh/year</t>
  </si>
  <si>
    <t>Power requirement at hub
MJ/year</t>
  </si>
  <si>
    <t>Emissions related to Injection at Hub
kgCO2e/year</t>
  </si>
  <si>
    <t>Heat requirement at hub
MJ/year</t>
  </si>
  <si>
    <t>Overall hub emissions kgCO2e/year</t>
  </si>
  <si>
    <t>therms per kWh</t>
  </si>
  <si>
    <t>therms/kWh</t>
  </si>
  <si>
    <t>Biomethane Transport</t>
  </si>
  <si>
    <t>CO2 Transport</t>
  </si>
  <si>
    <t>Flexi 530</t>
  </si>
  <si>
    <t>Acorn Bioenergy Shared Files - Supporting Docs Flexi 530.zip - All Documents (sharepoint.com)</t>
  </si>
  <si>
    <t>Quanto 1800</t>
  </si>
  <si>
    <t>Acorn Bioenergy Shared Files - Supporting Docs Quanto 1800.zip - All Documents (sharepoint.com)</t>
  </si>
  <si>
    <t>Acorn Bioenergy Shared Files - Supporting Docs Quanto 1600.zip - All Documents (sharepoint.com)</t>
  </si>
  <si>
    <t>YorPower</t>
  </si>
  <si>
    <t>1250kVA Silent Generator - YorPower</t>
  </si>
  <si>
    <t>1500kVA Perkins Diesel Generator (C) - YorPower</t>
  </si>
  <si>
    <t>https://www.engineeringtoolbox.com/CO2-carbon-dioxide-properties-d_2017.html</t>
  </si>
  <si>
    <t>Other</t>
  </si>
  <si>
    <t>Primary Digester monthly heating (kWh)</t>
  </si>
  <si>
    <t>Primary Digester x1 Cooling (kWh) Monthly</t>
  </si>
  <si>
    <t>Primary Digester x2 Monthly Heat (kWh)</t>
  </si>
  <si>
    <t>Primary Digester x2 Monthly Cooling (kWh)</t>
  </si>
  <si>
    <t>Total Primary Digester heating capacity (kW)</t>
  </si>
  <si>
    <t>Total Primary Digester cooling capacity (kW)</t>
  </si>
  <si>
    <t>Secondary Digester monthly Heat Demand (kWh)</t>
  </si>
  <si>
    <t xml:space="preserve">Secondary Digester monthly Heat x 3 (kWh) </t>
  </si>
  <si>
    <t xml:space="preserve">Secondary Digester Continous Cooling x 1 (kWh) </t>
  </si>
  <si>
    <t xml:space="preserve">Secondary Digester monthly Cooling x 3 (kWh) </t>
  </si>
  <si>
    <t>Total AD Plant monthly Heating (kWh)</t>
  </si>
  <si>
    <t>Total AD plant monthly cooling (kWh)</t>
  </si>
  <si>
    <t>Equipment (agg.)- Three Maids (Straw treat inc. at end)</t>
  </si>
  <si>
    <t>K.Pump feeder D1</t>
  </si>
  <si>
    <t>Hydraulic unit 1</t>
  </si>
  <si>
    <t>Dosing roller 1</t>
  </si>
  <si>
    <t xml:space="preserve">Discharge screw 1 </t>
  </si>
  <si>
    <t>Inclined Conveyor Screw 1</t>
  </si>
  <si>
    <t>Infeed screw 1</t>
  </si>
  <si>
    <t xml:space="preserve">Alarm Light 1 </t>
  </si>
  <si>
    <t>Hydraulic unit 2</t>
  </si>
  <si>
    <t>Dosing roller 2</t>
  </si>
  <si>
    <t>Discharge screw 2</t>
  </si>
  <si>
    <t>Inclined Conveyor Screw 2</t>
  </si>
  <si>
    <t>Infeed screw 2</t>
  </si>
  <si>
    <t>Alarm Light 2</t>
  </si>
  <si>
    <t>Huning feeder (liquid feed)</t>
  </si>
  <si>
    <t>Hydraulic unit 3</t>
  </si>
  <si>
    <t>Dosing roller 3</t>
  </si>
  <si>
    <t>Discharge screw 3</t>
  </si>
  <si>
    <t>Liquid feed pump 3</t>
  </si>
  <si>
    <t>PreMix Pump 3</t>
  </si>
  <si>
    <t>Debris removal 3</t>
  </si>
  <si>
    <t>Pump XCut 3</t>
  </si>
  <si>
    <t>Alarm Light 3</t>
  </si>
  <si>
    <t>Digester 1</t>
  </si>
  <si>
    <t>D1 Agitator 1</t>
  </si>
  <si>
    <t>D1 Agitator 2</t>
  </si>
  <si>
    <t>D1 Agitator 3</t>
  </si>
  <si>
    <t>D1 Agitator 4</t>
  </si>
  <si>
    <t>D1 Agitator 5</t>
  </si>
  <si>
    <t>D1 Agitator 6</t>
  </si>
  <si>
    <t>D1 Agitator 7</t>
  </si>
  <si>
    <t xml:space="preserve">Light Sight glass </t>
  </si>
  <si>
    <t xml:space="preserve">Digester 1 Pump </t>
  </si>
  <si>
    <t>Digester 1 pump XCut</t>
  </si>
  <si>
    <t>Digester 2</t>
  </si>
  <si>
    <t>D2 Agitator 1</t>
  </si>
  <si>
    <t>D2 Agitator 2</t>
  </si>
  <si>
    <t>D2 Agitator 3</t>
  </si>
  <si>
    <t>D2 Agitator 4</t>
  </si>
  <si>
    <t>D2 Agitator 5</t>
  </si>
  <si>
    <t>D2 Agitator 6</t>
  </si>
  <si>
    <t>D2 Agitator 7</t>
  </si>
  <si>
    <t xml:space="preserve">Digester 2 Pump </t>
  </si>
  <si>
    <t>Digester 2 pump XCut</t>
  </si>
  <si>
    <t>Secondary Digester 1</t>
  </si>
  <si>
    <t>Paddle agitator 1</t>
  </si>
  <si>
    <t>Paddle agitator 2</t>
  </si>
  <si>
    <t>Paddle agitator 3</t>
  </si>
  <si>
    <t>Paddle agitator 4</t>
  </si>
  <si>
    <t>Secondary digester pump</t>
  </si>
  <si>
    <t>Secondary digester Xcut</t>
  </si>
  <si>
    <t>Gas holder blower 1</t>
  </si>
  <si>
    <t>Gas holder blower 2</t>
  </si>
  <si>
    <t>Secondary Digester 2</t>
  </si>
  <si>
    <t>After Digester 1</t>
  </si>
  <si>
    <t xml:space="preserve">Separator 1 </t>
  </si>
  <si>
    <t xml:space="preserve">Separator 1 pumping </t>
  </si>
  <si>
    <t>Emergency flare</t>
  </si>
  <si>
    <t>Gas blower flare</t>
  </si>
  <si>
    <t xml:space="preserve">Gas blower </t>
  </si>
  <si>
    <t>Gas blower 1</t>
  </si>
  <si>
    <t>Gas blower 2</t>
  </si>
  <si>
    <t>Gas analyser</t>
  </si>
  <si>
    <t>Misc. appliances</t>
  </si>
  <si>
    <t xml:space="preserve">Chiller 1 </t>
  </si>
  <si>
    <t xml:space="preserve">21 based on 300kw </t>
  </si>
  <si>
    <t>Chiller 2</t>
  </si>
  <si>
    <t>Oxygen generator</t>
  </si>
  <si>
    <t>Fan tech. room 1</t>
  </si>
  <si>
    <t>Fan tech. room 2</t>
  </si>
  <si>
    <t>Air Conditioning E room</t>
  </si>
  <si>
    <t>Condenstate pump</t>
  </si>
  <si>
    <t>Condenstate pump 2</t>
  </si>
  <si>
    <t>Heating pump digester 1</t>
  </si>
  <si>
    <t>Heating pump digester 2</t>
  </si>
  <si>
    <t xml:space="preserve">Heat supply pump </t>
  </si>
  <si>
    <t>AD plant (w/o BUU, CNG and ST1)</t>
  </si>
  <si>
    <t>ST1- Straw treatment (Impact and extruder)</t>
  </si>
  <si>
    <t xml:space="preserve">String removal and bale opening </t>
  </si>
  <si>
    <t>Hopper 4 horizontal screws 4</t>
  </si>
  <si>
    <t>Discharge screw 4</t>
  </si>
  <si>
    <t xml:space="preserve">Grinder feed-in screw 4 </t>
  </si>
  <si>
    <t>Bio-Grinder</t>
  </si>
  <si>
    <t>Grinder discharge screw 4</t>
  </si>
  <si>
    <t>Process crane</t>
  </si>
  <si>
    <t>Alarm Light 4</t>
  </si>
  <si>
    <t>Hopper horizontal screws 5</t>
  </si>
  <si>
    <t xml:space="preserve">Discharge screw 5 </t>
  </si>
  <si>
    <t>Extruder feed-in screw 5</t>
  </si>
  <si>
    <t>Extruder</t>
  </si>
  <si>
    <t>Extruder discharge screw 5</t>
  </si>
  <si>
    <t>Alarm light 5</t>
  </si>
  <si>
    <t>ST2- Straw treatment (Impact)</t>
  </si>
  <si>
    <t>ST3- Straw treatment (Impact and extruder x2, no crane, liquid feed system)</t>
  </si>
  <si>
    <t>Conveyor section 1</t>
  </si>
  <si>
    <t>Bauer running energy = 239 kW (not much lower than 304.9)</t>
  </si>
  <si>
    <t>Conveyor section 2</t>
  </si>
  <si>
    <t>Conveyor section 3</t>
  </si>
  <si>
    <t>Extruder 1</t>
  </si>
  <si>
    <t>Straw treatment ST3</t>
  </si>
  <si>
    <t>Total site power demand</t>
  </si>
  <si>
    <t>Biogas CHP (Lag)</t>
  </si>
  <si>
    <t>Natural Gas CHP (Lead)</t>
  </si>
  <si>
    <t>Diesel generator</t>
  </si>
  <si>
    <t>TOTAL Available Power</t>
  </si>
  <si>
    <t>Three Maids Nm3 biogas/hr</t>
  </si>
  <si>
    <t>Total biogas - minus CHP</t>
  </si>
  <si>
    <t>@100%</t>
  </si>
  <si>
    <t>@75%</t>
  </si>
  <si>
    <t>@50%</t>
  </si>
  <si>
    <t>Vitoplex 300</t>
  </si>
  <si>
    <t>LCO2 liquefaction</t>
  </si>
  <si>
    <t>Heat requirement (average)</t>
  </si>
  <si>
    <t>Bright LCO2</t>
  </si>
  <si>
    <t>Power requirement (average)</t>
  </si>
  <si>
    <t>Heat (ave)</t>
  </si>
  <si>
    <t>Power (ave)</t>
  </si>
  <si>
    <t>=</t>
  </si>
  <si>
    <t>MAN</t>
  </si>
  <si>
    <t>Quanto 600</t>
  </si>
  <si>
    <t>Acorn Bioenergy Shared Files - TS_CHP_Quanto_600_MWM_NG_OM_SE_C_LB_50Hz_S_500_EN.pdf - All Documents (sharepoint.com)</t>
  </si>
  <si>
    <t>Efficiency kWh(E) @ 100%</t>
  </si>
  <si>
    <t>Quanto 2000</t>
  </si>
  <si>
    <t>Quanto 2300</t>
  </si>
  <si>
    <t>Quanto 800 NG</t>
  </si>
  <si>
    <t>Quanto 800 BG</t>
  </si>
  <si>
    <t>Quanto 1000 BG</t>
  </si>
  <si>
    <t>Quanto 1000 NG</t>
  </si>
  <si>
    <t>Inerts</t>
  </si>
  <si>
    <t>Methane slip</t>
  </si>
  <si>
    <t>CO2 in Upgraded Biogas</t>
  </si>
  <si>
    <t>HHV of natural gas at Three Maids site (12 months average)</t>
  </si>
  <si>
    <t>Quanto 1200</t>
  </si>
  <si>
    <t>2200m3 per hour</t>
  </si>
  <si>
    <t>OK</t>
  </si>
  <si>
    <t>AD plant (w/o BUU, CNG and ST3)</t>
  </si>
  <si>
    <t>ST1 is used in Energy Centre as per decision 22 May 2023 = 160.75 kW of supply</t>
  </si>
  <si>
    <t>ST3- Straw treatment (Impact and extruder x2, no crane)</t>
  </si>
  <si>
    <t>Straw feeder system</t>
  </si>
  <si>
    <t>Extruder 2</t>
  </si>
  <si>
    <t>Datasheet and PSCA from IMW (equipment supplier)</t>
  </si>
  <si>
    <t>Why is it increased by 10%?</t>
  </si>
  <si>
    <t>AD plant</t>
  </si>
  <si>
    <t>AD plant contingency</t>
  </si>
  <si>
    <t>Acorn estimate</t>
  </si>
  <si>
    <t>This is higher than 0.29 kWh/Nm3 in Bright datasheet (rounded up to 0.3 kWh/Nm3 in Energy Centre).
2189Nm3/h * 0.29 = 635kW continuous demand.</t>
  </si>
  <si>
    <t>Biogas Upgrading Unit</t>
  </si>
  <si>
    <t>Datasheet and PSCA from Bright (equipment supplier)</t>
  </si>
  <si>
    <r>
      <t xml:space="preserve">As in cell A107 above, </t>
    </r>
    <r>
      <rPr>
        <b/>
        <sz val="11"/>
        <color theme="1"/>
        <rFont val="Calibri"/>
        <family val="2"/>
        <scheme val="minor"/>
      </rPr>
      <t>ST1</t>
    </r>
    <r>
      <rPr>
        <sz val="11"/>
        <color theme="1"/>
        <rFont val="Calibri"/>
        <family val="2"/>
        <scheme val="minor"/>
      </rPr>
      <t xml:space="preserve"> is used in Energy Centre; ST3 is 210.26 kW higher continuous  demand than ST1</t>
    </r>
  </si>
  <si>
    <t>Not included in Energy Centre model</t>
  </si>
  <si>
    <t xml:space="preserve">Odour treatment </t>
  </si>
  <si>
    <t>Conservative estimate based on max figure</t>
  </si>
  <si>
    <t>Site Power Demand (Lighting etc.)</t>
  </si>
  <si>
    <t>Other site requirements</t>
  </si>
  <si>
    <t>% of remaining power demand</t>
  </si>
  <si>
    <t>Total efficiency</t>
  </si>
  <si>
    <t>uptime</t>
  </si>
  <si>
    <t>Calorific Value of Grid Gas</t>
  </si>
  <si>
    <t>kWh per Sm3</t>
  </si>
  <si>
    <t>Summary:</t>
  </si>
  <si>
    <t>Includes straw pre-treatment</t>
  </si>
  <si>
    <t>Continuous energy demand - averaged over the year (kWh)
Value in original Acorn Energy Centre model</t>
  </si>
  <si>
    <t>% change</t>
  </si>
  <si>
    <t>Increase (decrease) vs original Energy Centre</t>
  </si>
  <si>
    <t>Item</t>
  </si>
  <si>
    <t>% uptime</t>
  </si>
  <si>
    <t>Continuous power demand - based on all equipment operating at nominal load (kW)</t>
  </si>
  <si>
    <t>Continuous power demand - averaged over a representative day, and incorporating % uptime (kW)</t>
  </si>
  <si>
    <t>Maximum power Demand (kWh)</t>
  </si>
  <si>
    <t>Total kg CO2e per Mile</t>
  </si>
  <si>
    <t>Articulated HGV, &gt;33t, 100% Laden, Total kg CO2e per Mile</t>
  </si>
  <si>
    <t>Value3</t>
  </si>
  <si>
    <t>Unit2</t>
  </si>
  <si>
    <t>Diesel (UK) - Scope 1</t>
  </si>
  <si>
    <r>
      <t>kgCO</t>
    </r>
    <r>
      <rPr>
        <vertAlign val="subscript"/>
        <sz val="10"/>
        <color rgb="FF000000"/>
        <rFont val="Arial"/>
        <family val="2"/>
      </rPr>
      <t>2eq</t>
    </r>
    <r>
      <rPr>
        <sz val="10"/>
        <color rgb="FF000000"/>
        <rFont val="Arial"/>
        <family val="2"/>
      </rPr>
      <t>/kWh</t>
    </r>
  </si>
  <si>
    <t>Diesel (UK) - Scope 3</t>
  </si>
  <si>
    <r>
      <t>kgCO</t>
    </r>
    <r>
      <rPr>
        <vertAlign val="subscript"/>
        <sz val="10"/>
        <color rgb="FF000000"/>
        <rFont val="Arial"/>
        <family val="2"/>
      </rPr>
      <t>2eq</t>
    </r>
    <r>
      <rPr>
        <sz val="10"/>
        <color rgb="FF000000"/>
        <rFont val="Arial"/>
        <family val="2"/>
      </rPr>
      <t>/litre</t>
    </r>
  </si>
  <si>
    <t>Biogas (UK) - Scope 1</t>
  </si>
  <si>
    <t>Biogas (UK) - Scope 3</t>
  </si>
  <si>
    <t>Biogas (UK) - Out of Scope</t>
  </si>
  <si>
    <t>Natural Gas (UK) - Scope 1</t>
  </si>
  <si>
    <t>Natural Gas (UK) - Scope 3</t>
  </si>
  <si>
    <t xml:space="preserve">Global Warming Potential (GWP) values for 100-year time horizon, according to Intergovernmental Panel on Climate Change (IPCC) Fifth Assessment Report (AR5), so that the Conversion Factors are consistent with current national and international reporting requirements. </t>
  </si>
  <si>
    <t>Carbon Dioxide</t>
  </si>
  <si>
    <t>Nitrous Oxide</t>
  </si>
  <si>
    <t>kWh per litre of diesel (average biofuel blend) - Net CV</t>
  </si>
  <si>
    <t>kWh/litre</t>
  </si>
  <si>
    <t>UK Government Department for Energy Security &amp; Net Zero. Greenhouse gas reporting: conversion factors 2023. [Online]. GOV.UK. Last Updated: 28/06/2023. Available at: https://www.gov.uk/government/publications/greenhouse-gas-reporting-conversion-factors-2023, 'Fuel Properties' tab</t>
  </si>
  <si>
    <t>kWh per litre of diesel (average biofuel blend) - Gross CV</t>
  </si>
  <si>
    <t>CHP2 emissions</t>
  </si>
  <si>
    <t>CHP1 emissions</t>
  </si>
  <si>
    <t>CONTINUOUS</t>
  </si>
  <si>
    <t>AVERAGE</t>
  </si>
  <si>
    <t>MAXIMUM</t>
  </si>
  <si>
    <t>If Biomethane</t>
  </si>
  <si>
    <t>Savings if Biomethane</t>
  </si>
  <si>
    <t>% Savings if Biomethane</t>
  </si>
  <si>
    <t>MJth per Sm3 of natural gas (HHV)</t>
  </si>
  <si>
    <t>Gas supply requirement at hub
Sm3/year</t>
  </si>
  <si>
    <t>Digesters
(kWh/year)</t>
  </si>
  <si>
    <t>Pasteuriser
(kWh/year)</t>
  </si>
  <si>
    <t>Biogas Upgrader
(kWh/year)</t>
  </si>
  <si>
    <t>CO2 Upgrader
(kWh/year)</t>
  </si>
  <si>
    <t>Compressors
(kWh/year)</t>
  </si>
  <si>
    <t>Other
(kWh/year)</t>
  </si>
  <si>
    <t>Surplus
(kWh/year)</t>
  </si>
  <si>
    <t>Total
(kWh/year)</t>
  </si>
  <si>
    <t>Continuous energy demand - averaged over the year (kWh)
As of 21.03.2024</t>
  </si>
  <si>
    <t>Included in AD Plant value</t>
  </si>
  <si>
    <t>All items included in above so no contingency required.</t>
  </si>
  <si>
    <t xml:space="preserve">Based on value from BioGest. </t>
  </si>
  <si>
    <t>CO2 Production</t>
  </si>
  <si>
    <t>Biomethane Production</t>
  </si>
  <si>
    <t>power demand</t>
  </si>
  <si>
    <t>Sn: Share of feedstock n, in fraction of input to the digester</t>
  </si>
  <si>
    <t>NPK requirement per hectare of cultivation</t>
  </si>
  <si>
    <r>
      <t xml:space="preserve">N fertiliser embodied emissions 
(mineral fertiliser requirement </t>
    </r>
    <r>
      <rPr>
        <b/>
        <u/>
        <sz val="11"/>
        <color theme="1"/>
        <rFont val="Calibri"/>
        <family val="2"/>
        <scheme val="minor"/>
      </rPr>
      <t>after digestate</t>
    </r>
    <r>
      <rPr>
        <sz val="11"/>
        <color theme="1"/>
        <rFont val="Arial"/>
        <family val="2"/>
      </rPr>
      <t>)</t>
    </r>
  </si>
  <si>
    <t>Eec: 
emissions from the extraction or cultivation of feedstock n</t>
  </si>
  <si>
    <t>Etd,feedstock: 
emissions from transport of feedstock n to the digester;</t>
  </si>
  <si>
    <t>El:
annualised emissions from carbon stock changes caused by land-use change, for feedstock n;</t>
  </si>
  <si>
    <t>Esca:
 emission savings from soil carbon accumulation via improved agricultural management</t>
  </si>
  <si>
    <t>CO2 Slip downstream</t>
  </si>
  <si>
    <t>Ep: 
emissions from processing</t>
  </si>
  <si>
    <t>Etd, product: 
emissions from transport and distribution of biogas and/or biomethane</t>
  </si>
  <si>
    <t>Eu: 
emissions from the fuel in use</t>
  </si>
  <si>
    <t>Eccr: 
emission savings from CO2 capture and  replacement</t>
  </si>
  <si>
    <t>E: total emissions from the production of the biogas or biomethane before energy conversion</t>
  </si>
  <si>
    <t>Feedstock Mass Input
(tonnes)</t>
  </si>
  <si>
    <t>Waste/Residue</t>
  </si>
  <si>
    <t>Digestate application rate - application 1</t>
  </si>
  <si>
    <t>Digestate application rate - application 2</t>
  </si>
  <si>
    <t>Waste/Residue %</t>
  </si>
  <si>
    <t>Manure Credits on?</t>
  </si>
  <si>
    <t>CO2 storage</t>
  </si>
  <si>
    <t>CO2 utilisation</t>
  </si>
  <si>
    <t>Manure credits rate (gCO2e/MJ)</t>
  </si>
  <si>
    <t>Input at 100% (kWh NCV)</t>
  </si>
  <si>
    <t>Notes:</t>
  </si>
  <si>
    <t>Emissions can be reduced further if shared with co-products (e.g., digestate)</t>
  </si>
  <si>
    <t>Emissions can be reduced further based on 'technological option' for biomethane production (e.g., is digestate closed or open? Are membrane upgraders used? What happens to off-gas?) - see e.g., p.118 of REDII</t>
  </si>
  <si>
    <t>Emissions can be reduced further by use of more biogas in production process</t>
  </si>
  <si>
    <t>Sm3 per Nm3</t>
  </si>
  <si>
    <t>% of annual feed mix</t>
  </si>
  <si>
    <t>Tonnes per load</t>
  </si>
  <si>
    <t>Articulated HGV, &gt;33t, 0% Laden, Total kg CO2e per Mile</t>
  </si>
  <si>
    <t>Rigid HGV, &gt;17t, 100% Laden, Total kg CO2e per Mile</t>
  </si>
  <si>
    <t>Rigid HGV, &gt;17t, 0% Laden, Total kg CO2e per Mile</t>
  </si>
  <si>
    <t xml:space="preserve">Total annual vehicle trips </t>
  </si>
  <si>
    <t>Tonnage of digestate in return journeys</t>
  </si>
  <si>
    <t>Annual vehicle trips with return @ 100% load</t>
  </si>
  <si>
    <t>Annual vehicle trips 
with return @ 100% load as % of total trips</t>
  </si>
  <si>
    <t>Annual vehicle trips with return @ 0% load</t>
  </si>
  <si>
    <t>Annual vehicle trips 
with return @ 0% load as % of total trips</t>
  </si>
  <si>
    <r>
      <t>CO</t>
    </r>
    <r>
      <rPr>
        <b/>
        <sz val="8"/>
        <rFont val="Calibri"/>
        <family val="2"/>
        <scheme val="minor"/>
      </rPr>
      <t>2</t>
    </r>
    <r>
      <rPr>
        <b/>
        <sz val="11"/>
        <rFont val="Calibri"/>
        <family val="2"/>
        <scheme val="minor"/>
      </rPr>
      <t xml:space="preserve"> Intensity (kg CO2e)</t>
    </r>
  </si>
  <si>
    <t>Number of trips @ 100% load</t>
  </si>
  <si>
    <t>Tonnage of digestate transported</t>
  </si>
  <si>
    <t>HGV Carbon Emitted Per Zone (kg CO2e)</t>
  </si>
  <si>
    <t>Tractor Carbon Emitted Per Zone (kg CO2e)</t>
  </si>
  <si>
    <t>Total (kg CO2e)</t>
  </si>
  <si>
    <t>Total kg CO2e</t>
  </si>
  <si>
    <t>Methane %</t>
  </si>
  <si>
    <t>Key assumptions &amp; conversions</t>
  </si>
  <si>
    <t>Feedstock Distribution (Miles)</t>
  </si>
  <si>
    <t>Draff 1</t>
  </si>
  <si>
    <t>Draff 2</t>
  </si>
  <si>
    <t>Draff 3</t>
  </si>
  <si>
    <t>Draff 4</t>
  </si>
  <si>
    <t>Pot Ale Syrup</t>
  </si>
  <si>
    <t>Draff (total)</t>
  </si>
  <si>
    <t>Draff 5</t>
  </si>
  <si>
    <t>Draff 6</t>
  </si>
  <si>
    <t>Pot Ale Syrup (total)</t>
  </si>
  <si>
    <t>Includes Straw Treatment as above.
Note: Max value is 200% of continuous value in absence of exact value from BioGest.</t>
  </si>
  <si>
    <t>N.B. Surplus energy should be taken into account in Ofgem methodology.</t>
  </si>
  <si>
    <t>CHP3 (natural gas)</t>
  </si>
  <si>
    <t>CHP1 (biogas)</t>
  </si>
  <si>
    <t>CHP3 emissions</t>
  </si>
  <si>
    <t>Heat from CHP 3</t>
  </si>
  <si>
    <t>Power from CHP 3</t>
  </si>
  <si>
    <t>GCV</t>
  </si>
  <si>
    <t>Methane input</t>
  </si>
  <si>
    <t>Nominal size</t>
  </si>
  <si>
    <t>Model</t>
  </si>
  <si>
    <t>Connection capacity</t>
  </si>
  <si>
    <t>Biogas input</t>
  </si>
  <si>
    <t>Biomethane injected (GCV)</t>
  </si>
  <si>
    <t>N/A as all methane slip taken into account as downstream</t>
  </si>
  <si>
    <t>MJ injected</t>
  </si>
  <si>
    <t>MJ in CHP 1</t>
  </si>
  <si>
    <t>MJ in methane slip</t>
  </si>
  <si>
    <t>MJ in feedstock</t>
  </si>
  <si>
    <t>Land use change?</t>
  </si>
  <si>
    <t>gCO2e/
MJ</t>
  </si>
  <si>
    <t>Feedstock hourly biogas production (Nm3/h)</t>
  </si>
  <si>
    <t>Feedstock hourly biomethane production (Nm3/h)</t>
  </si>
  <si>
    <t xml:space="preserve"> Theoretical CO2 (Nm3/y)</t>
  </si>
  <si>
    <t>Actual CO2 (kg/y)</t>
  </si>
  <si>
    <t>MJ (NCV) of
Biomethane from feedstocks</t>
  </si>
  <si>
    <t>MJ (GCV) of
Biomethane from feedstocks</t>
  </si>
  <si>
    <t>Max 2,000 kg/h</t>
  </si>
  <si>
    <t>Biomethane injected (NCV)</t>
  </si>
  <si>
    <t>kWh (GCV) of Biomethane from feedstocks</t>
  </si>
  <si>
    <t>kWh (NCV) of Biomethane from feedstocks</t>
  </si>
  <si>
    <t>draff &amp; PAS</t>
  </si>
  <si>
    <t>kg CO2e annually</t>
  </si>
  <si>
    <t>kWh/year</t>
  </si>
  <si>
    <t>MWhe/y per household</t>
  </si>
  <si>
    <t>kWh/y heat demand per average UK household</t>
  </si>
  <si>
    <t>kWh/y per HGV</t>
  </si>
  <si>
    <t>Longmorn carbon calculator key assumptions</t>
  </si>
  <si>
    <t>For FID: 1 x CHP running on Biogas and 1 x CHP running on natural gas, with external power connection, and Biogas boiler for redundancy</t>
  </si>
  <si>
    <t>gCO2e/MJ (gross CV)</t>
  </si>
  <si>
    <t>kg per Nm3</t>
  </si>
  <si>
    <t>0.3 kWh/Nm3 value in Bright datasheet (used in original Energy Centre) is based on peak input to BUU. When input flow is less than max. the power demand per Nm3 will increase. PSCA from Bright takes into account fluctuations in input flow across the year</t>
  </si>
  <si>
    <t>Vehicle type</t>
  </si>
  <si>
    <t>Full one way empty the other</t>
  </si>
  <si>
    <t>Full both ways</t>
  </si>
  <si>
    <r>
      <t>Total Emissions (kg CO</t>
    </r>
    <r>
      <rPr>
        <vertAlign val="subscript"/>
        <sz val="11"/>
        <color theme="1"/>
        <rFont val="Calibri"/>
        <family val="2"/>
        <scheme val="minor"/>
      </rPr>
      <t>2</t>
    </r>
    <r>
      <rPr>
        <sz val="11"/>
        <color theme="1"/>
        <rFont val="Calibri"/>
        <family val="2"/>
        <scheme val="minor"/>
      </rPr>
      <t>e)</t>
    </r>
  </si>
  <si>
    <t>Distance from the spoke (miles)</t>
  </si>
  <si>
    <t>Distance from the spoke (km)</t>
  </si>
  <si>
    <r>
      <t>Emissions factor out (kg CO</t>
    </r>
    <r>
      <rPr>
        <vertAlign val="subscript"/>
        <sz val="11"/>
        <color theme="1"/>
        <rFont val="Calibri"/>
        <family val="2"/>
        <scheme val="minor"/>
      </rPr>
      <t>2</t>
    </r>
    <r>
      <rPr>
        <sz val="11"/>
        <color theme="1"/>
        <rFont val="Calibri"/>
        <family val="2"/>
        <scheme val="minor"/>
      </rPr>
      <t>e/mile)</t>
    </r>
  </si>
  <si>
    <r>
      <t>Emissions factor back (kg CO</t>
    </r>
    <r>
      <rPr>
        <vertAlign val="subscript"/>
        <sz val="11"/>
        <color theme="1"/>
        <rFont val="Calibri"/>
        <family val="2"/>
        <scheme val="minor"/>
      </rPr>
      <t>2</t>
    </r>
    <r>
      <rPr>
        <sz val="11"/>
        <color theme="1"/>
        <rFont val="Calibri"/>
        <family val="2"/>
        <scheme val="minor"/>
      </rPr>
      <t>e/mile)</t>
    </r>
  </si>
  <si>
    <t>Maize Silage</t>
  </si>
  <si>
    <t>Farm Yard Manure</t>
  </si>
  <si>
    <t>Liquid Digestate</t>
  </si>
  <si>
    <t>Transported Material</t>
  </si>
  <si>
    <t>Quantity of Material (Tonnes)</t>
  </si>
  <si>
    <t xml:space="preserve">Number of trips </t>
  </si>
  <si>
    <t>Imports</t>
  </si>
  <si>
    <t>Exports</t>
  </si>
  <si>
    <t>Staffing</t>
  </si>
  <si>
    <t>Employees &amp; Visitors</t>
  </si>
  <si>
    <t>Car</t>
  </si>
  <si>
    <t>Mass per load (tonnes)</t>
  </si>
  <si>
    <t>Source (with link)</t>
  </si>
  <si>
    <r>
      <rPr>
        <b/>
        <sz val="11"/>
        <color rgb="FF242424"/>
        <rFont val="Aptos Narrow"/>
        <family val="2"/>
      </rPr>
      <t>Source:</t>
    </r>
    <r>
      <rPr>
        <sz val="11"/>
        <color rgb="FF242424"/>
        <rFont val="Aptos Narrow"/>
        <family val="2"/>
      </rPr>
      <t xml:space="preserve"> https://www.gov.uk/government/publications/greenhouse-gas-reporting-conversion-factors-2024</t>
    </r>
  </si>
  <si>
    <t>Articulated HGV, &gt;33t, 0% Laden, Total kg CO2e per Mile (see 'Freighting goods')</t>
  </si>
  <si>
    <t>Rigid HGV, &gt;17t, 100% Laden, Total kg CO2e per Mile (see 'Freighting goods')</t>
  </si>
  <si>
    <t>Rigid HGV, &gt;17t, 0% Laden, Total kg CO2e per Mile (see 'Freighting goods')</t>
  </si>
  <si>
    <t>Articulated HGV, &gt;33t, 100% Laden, Total kg CO2e per Mile (see 'Delivery Vehicles' if Scope 1 or 'Freighting goods' if Scope 3, values are same for both)</t>
  </si>
  <si>
    <t>Average Car', 'Unknown Fuel Type'</t>
  </si>
  <si>
    <t>Average Car', 'Unknown Fuel Type' (see 'Passenger Vehicles' tab)</t>
  </si>
  <si>
    <t>kWh/year (GCV)</t>
  </si>
  <si>
    <t>Biograce 4. Available at: http://www.biograce.net/content/ghgcalculationtools/standardvalues.</t>
  </si>
  <si>
    <t>UK Government Department for Energy Security &amp; Net Zero. Greenhouse gas reporting: conversion factors 2024. [Online]. GOV.UK. Last Updated: 11/11/2024. Available at: https://www.gov.uk/government/publications/greenhouse-gas-reporting-conversion-factors-2024</t>
  </si>
  <si>
    <r>
      <t>Total CO</t>
    </r>
    <r>
      <rPr>
        <vertAlign val="subscript"/>
        <sz val="11"/>
        <color rgb="FF000000"/>
        <rFont val="Calibri"/>
        <family val="2"/>
      </rPr>
      <t>2</t>
    </r>
    <r>
      <rPr>
        <sz val="11"/>
        <color rgb="FF000000"/>
        <rFont val="Calibri"/>
        <family val="2"/>
      </rPr>
      <t xml:space="preserve"> intensity biomethane</t>
    </r>
  </si>
  <si>
    <r>
      <t>CO</t>
    </r>
    <r>
      <rPr>
        <vertAlign val="subscript"/>
        <sz val="11"/>
        <color rgb="FF000000"/>
        <rFont val="Calibri"/>
        <family val="2"/>
      </rPr>
      <t>2</t>
    </r>
    <r>
      <rPr>
        <sz val="11"/>
        <color rgb="FF000000"/>
        <rFont val="Calibri"/>
        <family val="2"/>
      </rPr>
      <t xml:space="preserve"> that would have been emitted natural gas</t>
    </r>
  </si>
  <si>
    <r>
      <t>kg CO</t>
    </r>
    <r>
      <rPr>
        <vertAlign val="subscript"/>
        <sz val="11"/>
        <color rgb="FF000000"/>
        <rFont val="Calibri"/>
        <family val="2"/>
      </rPr>
      <t>2</t>
    </r>
    <r>
      <rPr>
        <sz val="11"/>
        <color rgb="FF000000"/>
        <rFont val="Calibri"/>
        <family val="2"/>
      </rPr>
      <t>e annually</t>
    </r>
  </si>
  <si>
    <r>
      <t>Nm</t>
    </r>
    <r>
      <rPr>
        <vertAlign val="superscript"/>
        <sz val="11"/>
        <color rgb="FF000000"/>
        <rFont val="Calibri"/>
        <family val="2"/>
      </rPr>
      <t>3</t>
    </r>
    <r>
      <rPr>
        <sz val="11"/>
        <color rgb="FF000000"/>
        <rFont val="Calibri"/>
        <family val="2"/>
      </rPr>
      <t xml:space="preserve"> of biogas</t>
    </r>
  </si>
  <si>
    <r>
      <t>Nm</t>
    </r>
    <r>
      <rPr>
        <vertAlign val="superscript"/>
        <sz val="11"/>
        <color rgb="FF000000"/>
        <rFont val="Calibri"/>
        <family val="2"/>
      </rPr>
      <t>3</t>
    </r>
    <r>
      <rPr>
        <sz val="11"/>
        <color rgb="FF000000"/>
        <rFont val="Calibri"/>
        <family val="2"/>
      </rPr>
      <t xml:space="preserve"> of biomethane</t>
    </r>
  </si>
  <si>
    <r>
      <t>equivalent to the CO</t>
    </r>
    <r>
      <rPr>
        <vertAlign val="subscript"/>
        <sz val="11"/>
        <color rgb="FF000000"/>
        <rFont val="Calibri"/>
        <family val="2"/>
      </rPr>
      <t>2</t>
    </r>
    <r>
      <rPr>
        <sz val="11"/>
        <color rgb="FF000000"/>
        <rFont val="Calibri"/>
        <family val="2"/>
      </rPr>
      <t xml:space="preserve"> sequestered by</t>
    </r>
  </si>
  <si>
    <r>
      <t>equivalent to the CO</t>
    </r>
    <r>
      <rPr>
        <vertAlign val="subscript"/>
        <sz val="11"/>
        <color rgb="FF000000"/>
        <rFont val="Calibri"/>
        <family val="2"/>
      </rPr>
      <t>2</t>
    </r>
    <r>
      <rPr>
        <sz val="11"/>
        <color rgb="FF000000"/>
        <rFont val="Calibri"/>
        <family val="2"/>
      </rPr>
      <t>e emissions of</t>
    </r>
  </si>
  <si>
    <r>
      <t>Toggle CO</t>
    </r>
    <r>
      <rPr>
        <vertAlign val="subscript"/>
        <sz val="12"/>
        <color rgb="FF000000"/>
        <rFont val="Calibri"/>
        <family val="2"/>
      </rPr>
      <t>2</t>
    </r>
    <r>
      <rPr>
        <sz val="12"/>
        <color rgb="FF000000"/>
        <rFont val="Calibri"/>
        <family val="2"/>
      </rPr>
      <t xml:space="preserve"> capture % (utilisation)</t>
    </r>
  </si>
  <si>
    <r>
      <t>kgCO</t>
    </r>
    <r>
      <rPr>
        <vertAlign val="subscript"/>
        <sz val="11"/>
        <color rgb="FF000000"/>
        <rFont val="Calibri"/>
        <family val="2"/>
      </rPr>
      <t>2</t>
    </r>
    <r>
      <rPr>
        <sz val="11"/>
        <color rgb="FF000000"/>
        <rFont val="Calibri"/>
        <family val="2"/>
      </rPr>
      <t>e/kWh natural gas emissions (Scope 3, gross CV)</t>
    </r>
  </si>
  <si>
    <r>
      <t>kgCO</t>
    </r>
    <r>
      <rPr>
        <vertAlign val="subscript"/>
        <sz val="11"/>
        <color rgb="FF000000"/>
        <rFont val="Calibri"/>
        <family val="2"/>
      </rPr>
      <t>2</t>
    </r>
    <r>
      <rPr>
        <sz val="11"/>
        <color rgb="FF000000"/>
        <rFont val="Calibri"/>
        <family val="2"/>
      </rPr>
      <t>e/kWh natural gas emissions (Scope 1 + Scope 3)</t>
    </r>
  </si>
  <si>
    <r>
      <t>gCO</t>
    </r>
    <r>
      <rPr>
        <vertAlign val="subscript"/>
        <sz val="11"/>
        <color rgb="FF000000"/>
        <rFont val="Calibri"/>
        <family val="2"/>
      </rPr>
      <t>2</t>
    </r>
    <r>
      <rPr>
        <sz val="11"/>
        <color rgb="FF000000"/>
        <rFont val="Calibri"/>
        <family val="2"/>
      </rPr>
      <t>eq/MJ diesel emissions</t>
    </r>
  </si>
  <si>
    <r>
      <t>kgCO</t>
    </r>
    <r>
      <rPr>
        <vertAlign val="subscript"/>
        <sz val="11"/>
        <color rgb="FF000000"/>
        <rFont val="Calibri"/>
        <family val="2"/>
      </rPr>
      <t>2</t>
    </r>
    <r>
      <rPr>
        <sz val="11"/>
        <color rgb="FF000000"/>
        <rFont val="Calibri"/>
        <family val="2"/>
      </rPr>
      <t>e/kWh natural gas emissions (Scope 1, gross CV)</t>
    </r>
  </si>
  <si>
    <t xml:space="preserve">Average direction from A303 West </t>
  </si>
  <si>
    <t>Poutry Litter</t>
  </si>
  <si>
    <t>Wholecrop Silage</t>
  </si>
  <si>
    <t>Fibre Digestate</t>
  </si>
  <si>
    <r>
      <t>CO</t>
    </r>
    <r>
      <rPr>
        <vertAlign val="subscript"/>
        <sz val="11"/>
        <color theme="1"/>
        <rFont val="Calibri"/>
        <family val="2"/>
        <scheme val="minor"/>
      </rPr>
      <t>2</t>
    </r>
  </si>
  <si>
    <t>Gases</t>
  </si>
  <si>
    <t>Poultry Litter</t>
  </si>
  <si>
    <t>Dry Matter</t>
  </si>
  <si>
    <t>(%)</t>
  </si>
  <si>
    <t>Volatile Solids</t>
  </si>
  <si>
    <t>Methane Content</t>
  </si>
  <si>
    <t xml:space="preserve">Cattle Slurry </t>
  </si>
  <si>
    <t>Chicken Slurry</t>
  </si>
  <si>
    <t>Pig Slurry</t>
  </si>
  <si>
    <t>Draff</t>
  </si>
  <si>
    <t>Pot Ale</t>
  </si>
  <si>
    <t>Brewery and Distilleries waste</t>
  </si>
  <si>
    <t>Botanical Waste</t>
  </si>
  <si>
    <t>Misc 2</t>
  </si>
  <si>
    <t>Specific Methane Yield</t>
  </si>
  <si>
    <t>(Nm3 CH4/tVS)</t>
  </si>
  <si>
    <t>Spring Grove</t>
  </si>
  <si>
    <t>Total Upgraded Biogas supplied</t>
  </si>
  <si>
    <t>kgCO2e/kWh transmission losses</t>
  </si>
  <si>
    <t>Spring Grove carbon calculator key outputs</t>
  </si>
  <si>
    <t>gCO2e/MJ transmission losses</t>
  </si>
  <si>
    <t>gCH4/MJ</t>
  </si>
  <si>
    <r>
      <t>gCO</t>
    </r>
    <r>
      <rPr>
        <vertAlign val="subscript"/>
        <sz val="11"/>
        <color theme="1" tint="0.34998626667073579"/>
        <rFont val="Calibri"/>
        <family val="2"/>
      </rPr>
      <t>2</t>
    </r>
    <r>
      <rPr>
        <sz val="11"/>
        <color theme="1" tint="0.34998626667073579"/>
        <rFont val="Calibri"/>
        <family val="2"/>
      </rPr>
      <t>e/MJ (gross CV)</t>
    </r>
  </si>
  <si>
    <t>IPCC guidelines for national GHG investories</t>
  </si>
  <si>
    <t>CH4 to CO2e conversion factor</t>
  </si>
  <si>
    <t>kgCO2-eq/kg CH4</t>
  </si>
  <si>
    <t>N2O to CO2e convertion factor</t>
  </si>
  <si>
    <t>kgCO2-eq/kg N2O</t>
  </si>
  <si>
    <r>
      <t>N</t>
    </r>
    <r>
      <rPr>
        <vertAlign val="subscript"/>
        <sz val="10"/>
        <color rgb="FF000000"/>
        <rFont val="Arial"/>
        <family val="2"/>
      </rPr>
      <t>2</t>
    </r>
    <r>
      <rPr>
        <sz val="10"/>
        <color rgb="FF000000"/>
        <rFont val="Arial"/>
        <family val="2"/>
      </rPr>
      <t>O to N convertion factor</t>
    </r>
  </si>
  <si>
    <r>
      <t>kg N</t>
    </r>
    <r>
      <rPr>
        <vertAlign val="subscript"/>
        <sz val="10"/>
        <color rgb="FF000000"/>
        <rFont val="Arial"/>
        <family val="2"/>
      </rPr>
      <t>2</t>
    </r>
    <r>
      <rPr>
        <sz val="10"/>
        <color rgb="FF000000"/>
        <rFont val="Arial"/>
        <family val="2"/>
      </rPr>
      <t>O -N/kg N</t>
    </r>
  </si>
  <si>
    <r>
      <t>N</t>
    </r>
    <r>
      <rPr>
        <vertAlign val="subscript"/>
        <sz val="10"/>
        <color rgb="FF000000"/>
        <rFont val="Arial"/>
        <family val="2"/>
      </rPr>
      <t>2</t>
    </r>
    <r>
      <rPr>
        <sz val="10"/>
        <color rgb="FF000000"/>
        <rFont val="Arial"/>
        <family val="2"/>
      </rPr>
      <t>O to NH</t>
    </r>
    <r>
      <rPr>
        <vertAlign val="subscript"/>
        <sz val="10"/>
        <color rgb="FF000000"/>
        <rFont val="Arial"/>
        <family val="2"/>
      </rPr>
      <t>3</t>
    </r>
    <r>
      <rPr>
        <sz val="10"/>
        <color rgb="FF000000"/>
        <rFont val="Arial"/>
        <family val="2"/>
      </rPr>
      <t xml:space="preserve"> convertion factor</t>
    </r>
  </si>
  <si>
    <r>
      <t>kg N</t>
    </r>
    <r>
      <rPr>
        <vertAlign val="subscript"/>
        <sz val="10"/>
        <color rgb="FF000000"/>
        <rFont val="Arial"/>
        <family val="2"/>
      </rPr>
      <t>2</t>
    </r>
    <r>
      <rPr>
        <sz val="10"/>
        <color rgb="FF000000"/>
        <rFont val="Arial"/>
        <family val="2"/>
      </rPr>
      <t>O -N/kg NH</t>
    </r>
    <r>
      <rPr>
        <vertAlign val="subscript"/>
        <sz val="10"/>
        <color rgb="FF000000"/>
        <rFont val="Arial"/>
        <family val="2"/>
      </rPr>
      <t>3v</t>
    </r>
    <r>
      <rPr>
        <sz val="10"/>
        <color rgb="FF000000"/>
        <rFont val="Arial"/>
        <family val="2"/>
      </rPr>
      <t>+ NO</t>
    </r>
    <r>
      <rPr>
        <vertAlign val="subscript"/>
        <sz val="10"/>
        <color rgb="FF000000"/>
        <rFont val="Arial"/>
        <family val="2"/>
      </rPr>
      <t>x</t>
    </r>
  </si>
  <si>
    <r>
      <t>kg N</t>
    </r>
    <r>
      <rPr>
        <vertAlign val="subscript"/>
        <sz val="10"/>
        <color rgb="FF000000"/>
        <rFont val="Arial"/>
        <family val="2"/>
      </rPr>
      <t>2</t>
    </r>
    <r>
      <rPr>
        <sz val="10"/>
        <color rgb="FF000000"/>
        <rFont val="Arial"/>
        <family val="2"/>
      </rPr>
      <t xml:space="preserve">O -N/kg N leached </t>
    </r>
  </si>
  <si>
    <t>kg N volatilised/kg N applied</t>
  </si>
  <si>
    <t>kg N volatilised/kg N deposited</t>
  </si>
  <si>
    <t>kg N/kg N additions</t>
  </si>
  <si>
    <r>
      <rPr>
        <sz val="11"/>
        <color theme="1"/>
        <rFont val="Arial"/>
        <family val="2"/>
      </rPr>
      <t>Direct N</t>
    </r>
    <r>
      <rPr>
        <vertAlign val="subscript"/>
        <sz val="11"/>
        <color theme="1"/>
        <rFont val="Arial"/>
        <family val="2"/>
      </rPr>
      <t>2</t>
    </r>
    <r>
      <rPr>
        <sz val="11"/>
        <color theme="1"/>
        <rFont val="Arial"/>
        <family val="2"/>
      </rPr>
      <t xml:space="preserve">O emissions </t>
    </r>
  </si>
  <si>
    <t>Total synthetic N fertiliser    (Kg N/ha)</t>
  </si>
  <si>
    <t>Total organic N fertiliser    (Kg N/ha)</t>
  </si>
  <si>
    <r>
      <t>Indirect N</t>
    </r>
    <r>
      <rPr>
        <vertAlign val="subscript"/>
        <sz val="11"/>
        <color theme="1"/>
        <rFont val="Arial"/>
        <family val="2"/>
      </rPr>
      <t>2</t>
    </r>
    <r>
      <rPr>
        <sz val="11"/>
        <color theme="1"/>
        <rFont val="Arial"/>
        <family val="2"/>
      </rPr>
      <t>O emissions</t>
    </r>
  </si>
  <si>
    <t>full one way empty the other</t>
  </si>
  <si>
    <r>
      <t>Emission factor (kg N</t>
    </r>
    <r>
      <rPr>
        <vertAlign val="subscript"/>
        <sz val="10"/>
        <color rgb="FF000000"/>
        <rFont val="Calibri"/>
        <family val="2"/>
        <scheme val="minor"/>
      </rPr>
      <t>2</t>
    </r>
    <r>
      <rPr>
        <sz val="10"/>
        <color rgb="FF000000"/>
        <rFont val="Calibri"/>
        <family val="2"/>
        <scheme val="minor"/>
      </rPr>
      <t>O/kg N.ha)</t>
    </r>
  </si>
  <si>
    <r>
      <t>Emissions (kgCO</t>
    </r>
    <r>
      <rPr>
        <vertAlign val="subscript"/>
        <sz val="10"/>
        <color rgb="FF000000"/>
        <rFont val="Calibri"/>
        <family val="2"/>
        <scheme val="minor"/>
      </rPr>
      <t>2</t>
    </r>
    <r>
      <rPr>
        <sz val="10"/>
        <color rgb="FF000000"/>
        <rFont val="Calibri"/>
        <family val="2"/>
        <scheme val="minor"/>
      </rPr>
      <t>e/ton feedstock)</t>
    </r>
  </si>
  <si>
    <r>
      <t>Emissions (gCO</t>
    </r>
    <r>
      <rPr>
        <vertAlign val="subscript"/>
        <sz val="10"/>
        <color rgb="FF000000"/>
        <rFont val="Calibri"/>
        <family val="2"/>
        <scheme val="minor"/>
      </rPr>
      <t>2</t>
    </r>
    <r>
      <rPr>
        <sz val="10"/>
        <color rgb="FF000000"/>
        <rFont val="Calibri"/>
        <family val="2"/>
        <scheme val="minor"/>
      </rPr>
      <t>e/MJ fuel)</t>
    </r>
  </si>
  <si>
    <r>
      <t>Total N</t>
    </r>
    <r>
      <rPr>
        <vertAlign val="subscript"/>
        <sz val="10"/>
        <color rgb="FF000000"/>
        <rFont val="Calibri"/>
        <family val="2"/>
        <scheme val="minor"/>
      </rPr>
      <t>2</t>
    </r>
    <r>
      <rPr>
        <sz val="10"/>
        <color rgb="FF000000"/>
        <rFont val="Calibri"/>
        <family val="2"/>
        <scheme val="minor"/>
      </rPr>
      <t>O Emisssions           (kg N</t>
    </r>
    <r>
      <rPr>
        <vertAlign val="subscript"/>
        <sz val="10"/>
        <color rgb="FF000000"/>
        <rFont val="Calibri"/>
        <family val="2"/>
        <scheme val="minor"/>
      </rPr>
      <t>2</t>
    </r>
    <r>
      <rPr>
        <sz val="10"/>
        <color rgb="FF000000"/>
        <rFont val="Calibri"/>
        <family val="2"/>
        <scheme val="minor"/>
      </rPr>
      <t>O/ha. yr)</t>
    </r>
  </si>
  <si>
    <r>
      <t>Annual emissions (kgCO</t>
    </r>
    <r>
      <rPr>
        <vertAlign val="subscript"/>
        <sz val="10"/>
        <color rgb="FF000000"/>
        <rFont val="Calibri"/>
        <family val="2"/>
        <scheme val="minor"/>
      </rPr>
      <t>2</t>
    </r>
    <r>
      <rPr>
        <sz val="10"/>
        <color rgb="FF000000"/>
        <rFont val="Calibri"/>
        <family val="2"/>
        <scheme val="minor"/>
      </rPr>
      <t>e/yr)</t>
    </r>
  </si>
  <si>
    <r>
      <t>CO</t>
    </r>
    <r>
      <rPr>
        <vertAlign val="subscript"/>
        <sz val="10"/>
        <color rgb="FF000000"/>
        <rFont val="Calibri"/>
        <family val="2"/>
        <scheme val="minor"/>
      </rPr>
      <t>2</t>
    </r>
    <r>
      <rPr>
        <sz val="10"/>
        <color rgb="FF000000"/>
        <rFont val="Calibri"/>
        <family val="2"/>
        <scheme val="minor"/>
      </rPr>
      <t>e emissions from N</t>
    </r>
    <r>
      <rPr>
        <vertAlign val="subscript"/>
        <sz val="10"/>
        <color rgb="FF000000"/>
        <rFont val="Calibri"/>
        <family val="2"/>
        <scheme val="minor"/>
      </rPr>
      <t>2</t>
    </r>
    <r>
      <rPr>
        <sz val="10"/>
        <color rgb="FF000000"/>
        <rFont val="Calibri"/>
        <family val="2"/>
        <scheme val="minor"/>
      </rPr>
      <t>O 
(kg/yr)</t>
    </r>
  </si>
  <si>
    <r>
      <t>Specific Methane Yield 
(Nm</t>
    </r>
    <r>
      <rPr>
        <b/>
        <vertAlign val="superscript"/>
        <sz val="11"/>
        <color theme="0"/>
        <rFont val="Calibri"/>
        <family val="2"/>
        <scheme val="minor"/>
      </rPr>
      <t>3</t>
    </r>
    <r>
      <rPr>
        <b/>
        <sz val="11"/>
        <color theme="0"/>
        <rFont val="Calibri"/>
        <family val="2"/>
        <scheme val="minor"/>
      </rPr>
      <t xml:space="preserve"> CH</t>
    </r>
    <r>
      <rPr>
        <b/>
        <vertAlign val="subscript"/>
        <sz val="11"/>
        <color theme="0"/>
        <rFont val="Calibri"/>
        <family val="2"/>
        <scheme val="minor"/>
      </rPr>
      <t>4</t>
    </r>
    <r>
      <rPr>
        <b/>
        <sz val="11"/>
        <color theme="0"/>
        <rFont val="Calibri"/>
        <family val="2"/>
        <scheme val="minor"/>
      </rPr>
      <t>/tVS)</t>
    </r>
  </si>
  <si>
    <r>
      <t>Biogas Production (Nm</t>
    </r>
    <r>
      <rPr>
        <b/>
        <vertAlign val="superscript"/>
        <sz val="11"/>
        <color theme="0"/>
        <rFont val="Calibri"/>
        <family val="2"/>
        <scheme val="minor"/>
      </rPr>
      <t>3</t>
    </r>
    <r>
      <rPr>
        <b/>
        <sz val="11"/>
        <color theme="0"/>
        <rFont val="Calibri"/>
        <family val="2"/>
        <scheme val="minor"/>
      </rPr>
      <t>)</t>
    </r>
  </si>
  <si>
    <r>
      <t>Methane Production
(Nm</t>
    </r>
    <r>
      <rPr>
        <b/>
        <vertAlign val="superscript"/>
        <sz val="11"/>
        <color theme="0"/>
        <rFont val="Calibri"/>
        <family val="2"/>
        <scheme val="minor"/>
      </rPr>
      <t>3</t>
    </r>
    <r>
      <rPr>
        <b/>
        <sz val="11"/>
        <color theme="0"/>
        <rFont val="Calibri"/>
        <family val="2"/>
        <scheme val="minor"/>
      </rPr>
      <t>)</t>
    </r>
  </si>
  <si>
    <r>
      <t>P</t>
    </r>
    <r>
      <rPr>
        <vertAlign val="subscript"/>
        <sz val="11"/>
        <color theme="1"/>
        <rFont val="Arial"/>
        <family val="2"/>
      </rPr>
      <t>2</t>
    </r>
    <r>
      <rPr>
        <sz val="11"/>
        <color theme="1"/>
        <rFont val="Arial"/>
        <family val="2"/>
      </rPr>
      <t>O</t>
    </r>
    <r>
      <rPr>
        <vertAlign val="subscript"/>
        <sz val="11"/>
        <color theme="1"/>
        <rFont val="Arial"/>
        <family val="2"/>
      </rPr>
      <t>5</t>
    </r>
    <r>
      <rPr>
        <sz val="11"/>
        <color theme="1"/>
        <rFont val="Arial"/>
        <family val="2"/>
      </rPr>
      <t xml:space="preserve"> fertiliser embodied emissions
(mineral fertiliser requirement </t>
    </r>
    <r>
      <rPr>
        <b/>
        <u/>
        <sz val="11"/>
        <color theme="1"/>
        <rFont val="Calibri"/>
        <family val="2"/>
        <scheme val="minor"/>
      </rPr>
      <t>after digestate</t>
    </r>
    <r>
      <rPr>
        <sz val="11"/>
        <color theme="1"/>
        <rFont val="Arial"/>
        <family val="2"/>
      </rPr>
      <t>)</t>
    </r>
  </si>
  <si>
    <r>
      <t>K</t>
    </r>
    <r>
      <rPr>
        <vertAlign val="subscript"/>
        <sz val="11"/>
        <color theme="1"/>
        <rFont val="Arial"/>
        <family val="2"/>
      </rPr>
      <t>2</t>
    </r>
    <r>
      <rPr>
        <sz val="11"/>
        <color theme="1"/>
        <rFont val="Arial"/>
        <family val="2"/>
      </rPr>
      <t>O fertiliser embodied emissions
(mineral fertiliser requirement</t>
    </r>
    <r>
      <rPr>
        <b/>
        <sz val="11"/>
        <color theme="1"/>
        <rFont val="Calibri"/>
        <family val="2"/>
        <scheme val="minor"/>
      </rPr>
      <t xml:space="preserve"> </t>
    </r>
    <r>
      <rPr>
        <b/>
        <u/>
        <sz val="11"/>
        <color theme="1"/>
        <rFont val="Calibri"/>
        <family val="2"/>
        <scheme val="minor"/>
      </rPr>
      <t>after digestate</t>
    </r>
    <r>
      <rPr>
        <sz val="11"/>
        <color theme="1"/>
        <rFont val="Arial"/>
        <family val="2"/>
      </rPr>
      <t>)</t>
    </r>
  </si>
  <si>
    <r>
      <t>Eccs: 
emission savings from CO</t>
    </r>
    <r>
      <rPr>
        <b/>
        <vertAlign val="subscript"/>
        <sz val="10"/>
        <color theme="1"/>
        <rFont val="Calibri"/>
        <family val="2"/>
        <scheme val="minor"/>
      </rPr>
      <t>2</t>
    </r>
    <r>
      <rPr>
        <b/>
        <sz val="10"/>
        <color theme="1"/>
        <rFont val="Calibri"/>
        <family val="2"/>
        <scheme val="minor"/>
      </rPr>
      <t xml:space="preserve"> capture and geological storage</t>
    </r>
  </si>
  <si>
    <r>
      <t>gCO</t>
    </r>
    <r>
      <rPr>
        <b/>
        <vertAlign val="subscript"/>
        <sz val="10"/>
        <color theme="1"/>
        <rFont val="Calibri"/>
        <family val="2"/>
        <scheme val="minor"/>
      </rPr>
      <t>2</t>
    </r>
    <r>
      <rPr>
        <b/>
        <sz val="10"/>
        <color theme="1"/>
        <rFont val="Calibri"/>
        <family val="2"/>
        <scheme val="minor"/>
      </rPr>
      <t>e/
MJ</t>
    </r>
  </si>
  <si>
    <t>Maize</t>
  </si>
  <si>
    <t>Poultry Manure</t>
  </si>
  <si>
    <t xml:space="preserve">Dairy Slurry </t>
  </si>
  <si>
    <t>Ashton Keynes- carbon calculator key outputs</t>
  </si>
  <si>
    <t>Ashton Keynes - carbon calculator key assumptions</t>
  </si>
  <si>
    <t>Ashton Keynes - Carbon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</si>
</sst>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0">
    <numFmt numFmtId="43" formatCode="_-* #,##0.00_-;\-* #,##0.00_-;_-* &quot;-&quot;??_-;_-@_-"/>
    <numFmt numFmtId="164" formatCode="0.0%"/>
    <numFmt numFmtId="165" formatCode="0.000"/>
    <numFmt numFmtId="166" formatCode="_-[$£-809]* #,##0_-;\-[$£-809]* #,##0_-;_-[$£-809]* &quot;-&quot;??_-;_-@_-"/>
    <numFmt numFmtId="167" formatCode="0,000&quot; kg&quot;"/>
    <numFmt numFmtId="168" formatCode="_-* #,##0_-;\-* #,##0_-;_-* &quot;-&quot;??_-;_-@_-"/>
    <numFmt numFmtId="169" formatCode="_-[$£-809]* #,##0.00_-;\-[$£-809]* #,##0.00_-;_-[$£-809]* &quot;-&quot;??_-;_-@_-"/>
    <numFmt numFmtId="170" formatCode="0.0"/>
    <numFmt numFmtId="171" formatCode="0,000&quot; kWh/y (GCV)&quot;"/>
    <numFmt numFmtId="172" formatCode="0,000&quot; kWh/h (GCV)&quot;"/>
    <numFmt numFmtId="173" formatCode="0,000&quot; Nm³&quot;"/>
    <numFmt numFmtId="174" formatCode="0&quot; Nm³/hr&quot;"/>
    <numFmt numFmtId="175" formatCode="0&quot; kWe&quot;"/>
    <numFmt numFmtId="176" formatCode="0,000&quot; tonnes/year&quot;"/>
    <numFmt numFmtId="177" formatCode="0&quot; kW (GCV)&quot;"/>
    <numFmt numFmtId="178" formatCode="_-* #,##0.0_-;\-* #,##0.0_-;_-* &quot;-&quot;??_-;_-@_-"/>
    <numFmt numFmtId="179" formatCode="_-* #,##0.00_-;\-* #,##0.00_-;_-* &quot;-&quot;??_-;_-@"/>
    <numFmt numFmtId="180" formatCode="0.0000"/>
    <numFmt numFmtId="181" formatCode="0,000&quot; kgCO2e/y&quot;"/>
    <numFmt numFmtId="182" formatCode="0&quot; kWth (boiler size)&quot;"/>
    <numFmt numFmtId="183" formatCode="0.0;\ &quot;-&quot;"/>
    <numFmt numFmtId="184" formatCode="#,#00;\ &quot;-&quot;"/>
    <numFmt numFmtId="185" formatCode="#,#00&quot; MJ&quot;"/>
    <numFmt numFmtId="186" formatCode="0.0&quot; MW (GCV)&quot;"/>
    <numFmt numFmtId="187" formatCode="0&quot; kW&quot;"/>
    <numFmt numFmtId="188" formatCode="0.00&quot; kWh/Nm3&quot;"/>
    <numFmt numFmtId="189" formatCode="0&quot; kWh/tonne&quot;"/>
    <numFmt numFmtId="190" formatCode="0.0\ &quot;loads per week&quot;"/>
    <numFmt numFmtId="191" formatCode="0&quot; kg&quot;"/>
    <numFmt numFmtId="192" formatCode="0\ &quot;fills per week&quot;"/>
    <numFmt numFmtId="193" formatCode="0.00\ &quot;loads per day&quot;"/>
    <numFmt numFmtId="194" formatCode="_-* #,##0.0_-;\-* #,##0.0_-;_-* &quot;-&quot;??_-;_-@"/>
    <numFmt numFmtId="195" formatCode="_-* #,##0.000_-;\-* #,##0.000_-;_-* &quot;-&quot;??_-;_-@"/>
    <numFmt numFmtId="196" formatCode="0%\ &quot;laden&quot;"/>
    <numFmt numFmtId="197" formatCode="0\ &quot;loads per week&quot;"/>
    <numFmt numFmtId="198" formatCode="0\ &quot;loads per year&quot;"/>
    <numFmt numFmtId="199" formatCode="0,000&quot; kWh&quot;"/>
    <numFmt numFmtId="200" formatCode="0,000&quot; kWh (GCV)&quot;"/>
    <numFmt numFmtId="201" formatCode="0,000&quot; kWh (NCV)&quot;"/>
    <numFmt numFmtId="202" formatCode="#,#00&quot; kW (GCV)&quot;"/>
    <numFmt numFmtId="203" formatCode="0.0\ &quot;tonnes per day&quot;"/>
    <numFmt numFmtId="204" formatCode="0&quot; kVA&quot;"/>
    <numFmt numFmtId="205" formatCode="0&quot; gCO2e/MJ&quot;"/>
    <numFmt numFmtId="206" formatCode="_-* #,##0.0000_-;\-* #,##0.0000_-;_-* &quot;-&quot;??_-;_-@_-"/>
    <numFmt numFmtId="207" formatCode="0.00;\ &quot;-&quot;"/>
    <numFmt numFmtId="208" formatCode="0,000.00&quot; Nm³&quot;"/>
    <numFmt numFmtId="209" formatCode="#,##0.000"/>
    <numFmt numFmtId="210" formatCode="_-* #,##0.000_-;\-* #,##0.000_-;_-* &quot;-&quot;??_-;_-@_-"/>
    <numFmt numFmtId="211" formatCode="#,##0.00_ ;\-#,##0.00\ "/>
    <numFmt numFmtId="212" formatCode="0.00000"/>
  </numFmts>
  <fonts count="126" x14ac:knownFonts="1">
    <font>
      <sz val="11"/>
      <color theme="1"/>
      <name val="Calibri"/>
      <family val="2"/>
      <scheme val="minor"/>
    </font>
    <font>
      <b/>
      <u/>
      <sz val="11"/>
      <color theme="1"/>
      <name val="Calibri"/>
      <family val="2"/>
      <scheme val="minor"/>
    </font>
    <font>
      <vertAlign val="superscript"/>
      <sz val="11"/>
      <color theme="1"/>
      <name val="Calibri"/>
      <family val="2"/>
      <scheme val="minor"/>
    </font>
    <font>
      <u/>
      <sz val="11"/>
      <color theme="10"/>
      <name val="Calibri"/>
      <family val="2"/>
      <scheme val="minor"/>
    </font>
    <font>
      <u/>
      <sz val="11"/>
      <color theme="1"/>
      <name val="Calibri"/>
      <family val="2"/>
      <scheme val="minor"/>
    </font>
    <font>
      <u/>
      <vertAlign val="superscript"/>
      <sz val="11"/>
      <color theme="1"/>
      <name val="Calibri"/>
      <family val="2"/>
      <scheme val="minor"/>
    </font>
    <font>
      <sz val="11"/>
      <color theme="1"/>
      <name val="Calibri"/>
      <family val="2"/>
      <scheme val="minor"/>
    </font>
    <font>
      <sz val="11"/>
      <color rgb="FF000000"/>
      <name val="Calibri"/>
      <family val="2"/>
    </font>
    <font>
      <b/>
      <u/>
      <sz val="11"/>
      <color rgb="FF000000"/>
      <name val="Calibri"/>
      <family val="2"/>
    </font>
    <font>
      <b/>
      <sz val="11"/>
      <color rgb="FF000000"/>
      <name val="Calibri"/>
      <family val="2"/>
    </font>
    <font>
      <sz val="11"/>
      <color rgb="FF000000"/>
      <name val="Calibri"/>
      <family val="2"/>
    </font>
    <font>
      <sz val="11"/>
      <color theme="2" tint="-0.499984740745262"/>
      <name val="Calibri"/>
      <family val="2"/>
    </font>
    <font>
      <sz val="11"/>
      <color rgb="FF000000"/>
      <name val="Verdana"/>
      <family val="2"/>
    </font>
    <font>
      <sz val="10"/>
      <color rgb="FF000000"/>
      <name val="Calibri"/>
      <family val="2"/>
    </font>
    <font>
      <b/>
      <sz val="14"/>
      <color rgb="FF000000"/>
      <name val="Calibri"/>
      <family val="2"/>
    </font>
    <font>
      <b/>
      <sz val="9"/>
      <color indexed="81"/>
      <name val="Tahoma"/>
      <family val="2"/>
    </font>
    <font>
      <sz val="9"/>
      <color indexed="81"/>
      <name val="Tahoma"/>
      <family val="2"/>
    </font>
    <font>
      <sz val="11"/>
      <color rgb="FF221E20"/>
      <name val="Calibri"/>
      <family val="2"/>
    </font>
    <font>
      <sz val="10"/>
      <name val="Arial"/>
      <family val="2"/>
    </font>
    <font>
      <sz val="10"/>
      <name val="Arial"/>
      <family val="2"/>
    </font>
    <font>
      <sz val="11"/>
      <color rgb="FF9C0006"/>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0"/>
      <color rgb="FF000000"/>
      <name val="Arial"/>
      <family val="2"/>
    </font>
    <font>
      <sz val="9"/>
      <color rgb="FF000000"/>
      <name val="Calibri"/>
      <family val="2"/>
    </font>
    <font>
      <sz val="8"/>
      <name val="Calibri"/>
      <family val="2"/>
      <scheme val="minor"/>
    </font>
    <font>
      <b/>
      <sz val="10"/>
      <color theme="1"/>
      <name val="Calibri"/>
      <family val="2"/>
      <scheme val="minor"/>
    </font>
    <font>
      <b/>
      <sz val="11"/>
      <color rgb="FF000000"/>
      <name val="Verdana"/>
      <family val="2"/>
    </font>
    <font>
      <sz val="10"/>
      <color rgb="FF000000"/>
      <name val="Verdana"/>
      <family val="2"/>
    </font>
    <font>
      <sz val="8"/>
      <color rgb="FF000000"/>
      <name val="Verdana"/>
      <family val="2"/>
    </font>
    <font>
      <sz val="9"/>
      <color rgb="FF000000"/>
      <name val="Verdana"/>
      <family val="2"/>
    </font>
    <font>
      <b/>
      <sz val="14"/>
      <color theme="0"/>
      <name val="Calibri"/>
      <family val="2"/>
    </font>
    <font>
      <sz val="11"/>
      <color rgb="FF000000"/>
      <name val="Calibri"/>
      <family val="2"/>
    </font>
    <font>
      <b/>
      <sz val="11"/>
      <color rgb="FF000000"/>
      <name val="Calibri"/>
      <family val="2"/>
    </font>
    <font>
      <b/>
      <sz val="14"/>
      <color rgb="FF000000"/>
      <name val="Calibri"/>
      <family val="2"/>
    </font>
    <font>
      <sz val="14"/>
      <color rgb="FF000000"/>
      <name val="Calibri"/>
      <family val="2"/>
    </font>
    <font>
      <sz val="12"/>
      <color rgb="FF000000"/>
      <name val="Calibri"/>
      <family val="2"/>
    </font>
    <font>
      <b/>
      <sz val="12"/>
      <color rgb="FF000000"/>
      <name val="Calibri"/>
      <family val="2"/>
    </font>
    <font>
      <b/>
      <sz val="14"/>
      <color theme="0"/>
      <name val="Calibri"/>
      <family val="2"/>
    </font>
    <font>
      <sz val="11"/>
      <color rgb="FF00B0F0"/>
      <name val="Calibri"/>
      <family val="2"/>
    </font>
    <font>
      <sz val="9"/>
      <color rgb="FF000000"/>
      <name val="Calibri"/>
      <family val="2"/>
    </font>
    <font>
      <b/>
      <sz val="10"/>
      <color rgb="FF000000"/>
      <name val="Arial"/>
      <family val="2"/>
    </font>
    <font>
      <sz val="11"/>
      <color theme="2" tint="-0.249977111117893"/>
      <name val="Calibri"/>
      <family val="2"/>
    </font>
    <font>
      <sz val="10"/>
      <color rgb="FF00B0F0"/>
      <name val="Calibri"/>
      <family val="2"/>
    </font>
    <font>
      <sz val="10"/>
      <color rgb="FF3F3F3F"/>
      <name val="Verdana"/>
      <family val="2"/>
    </font>
    <font>
      <vertAlign val="superscript"/>
      <sz val="10"/>
      <color rgb="FF3F3F3F"/>
      <name val="Verdana"/>
      <family val="2"/>
    </font>
    <font>
      <vertAlign val="superscript"/>
      <sz val="11"/>
      <color rgb="FF000000"/>
      <name val="Verdana"/>
      <family val="2"/>
    </font>
    <font>
      <sz val="10"/>
      <color rgb="FFFFFFFF"/>
      <name val="Verdana"/>
      <family val="2"/>
    </font>
    <font>
      <b/>
      <sz val="10"/>
      <color rgb="FF3F3F3F"/>
      <name val="Verdana"/>
      <family val="2"/>
    </font>
    <font>
      <u/>
      <sz val="11"/>
      <color rgb="FF0000FF"/>
      <name val="Verdana"/>
      <family val="2"/>
    </font>
    <font>
      <sz val="10"/>
      <color rgb="FF003F7E"/>
      <name val="Verdana"/>
      <family val="2"/>
    </font>
    <font>
      <u/>
      <sz val="11"/>
      <color theme="10"/>
      <name val="Calibri"/>
      <family val="2"/>
    </font>
    <font>
      <u/>
      <sz val="11"/>
      <color theme="10"/>
      <name val="Verdana"/>
      <family val="2"/>
    </font>
    <font>
      <vertAlign val="subscript"/>
      <sz val="10"/>
      <color rgb="FF3F3F3F"/>
      <name val="Verdana"/>
      <family val="2"/>
    </font>
    <font>
      <b/>
      <sz val="14"/>
      <color rgb="FFFFFFFF"/>
      <name val="Verdana"/>
      <family val="2"/>
    </font>
    <font>
      <b/>
      <sz val="10"/>
      <color rgb="FF3F3F3F"/>
      <name val="Lao UI"/>
      <family val="2"/>
    </font>
    <font>
      <sz val="10"/>
      <color rgb="FF3F3F3F"/>
      <name val="Lao UI"/>
      <family val="2"/>
    </font>
    <font>
      <sz val="10"/>
      <color rgb="FFFFFFFF"/>
      <name val="Lao UI"/>
      <family val="2"/>
    </font>
    <font>
      <sz val="10"/>
      <color rgb="FF000000"/>
      <name val="Arial"/>
      <family val="2"/>
    </font>
    <font>
      <vertAlign val="subscript"/>
      <sz val="10"/>
      <color rgb="FF000000"/>
      <name val="Arial"/>
      <family val="2"/>
    </font>
    <font>
      <sz val="11"/>
      <color rgb="FF000000"/>
      <name val="Arial"/>
      <family val="2"/>
    </font>
    <font>
      <b/>
      <sz val="11"/>
      <color theme="0"/>
      <name val="Calibri"/>
      <family val="2"/>
      <scheme val="minor"/>
    </font>
    <font>
      <b/>
      <u val="singleAccounting"/>
      <sz val="11"/>
      <color rgb="FF000000"/>
      <name val="Calibri"/>
      <family val="2"/>
    </font>
    <font>
      <b/>
      <sz val="10"/>
      <color rgb="FF000000"/>
      <name val="Calibri"/>
      <family val="2"/>
    </font>
    <font>
      <b/>
      <sz val="8"/>
      <color rgb="FF000000"/>
      <name val="Calibri"/>
      <family val="2"/>
    </font>
    <font>
      <b/>
      <sz val="7.5"/>
      <color rgb="FF000000"/>
      <name val="Calibri"/>
      <family val="2"/>
    </font>
    <font>
      <sz val="11"/>
      <color rgb="FF000000"/>
      <name val="Verdana"/>
      <family val="2"/>
    </font>
    <font>
      <sz val="11"/>
      <color theme="1"/>
      <name val="Calibri"/>
      <family val="2"/>
    </font>
    <font>
      <sz val="11"/>
      <color rgb="FF000000"/>
      <name val="Calibri"/>
      <family val="2"/>
    </font>
    <font>
      <sz val="8"/>
      <color rgb="FF000000"/>
      <name val="Calibri"/>
      <family val="2"/>
    </font>
    <font>
      <b/>
      <sz val="11"/>
      <color rgb="FFFF00FF"/>
      <name val="Calibri"/>
      <family val="2"/>
    </font>
    <font>
      <b/>
      <sz val="11"/>
      <color rgb="FFFF00FF"/>
      <name val="Calibri"/>
      <family val="2"/>
      <scheme val="minor"/>
    </font>
    <font>
      <sz val="10"/>
      <color theme="1"/>
      <name val="Arial"/>
      <family val="2"/>
    </font>
    <font>
      <sz val="9"/>
      <color theme="1"/>
      <name val="Calibri"/>
      <family val="2"/>
    </font>
    <font>
      <sz val="11"/>
      <color theme="2" tint="-9.9978637043366805E-2"/>
      <name val="Calibri"/>
      <family val="2"/>
    </font>
    <font>
      <b/>
      <sz val="16"/>
      <color theme="1"/>
      <name val="Calibri"/>
      <family val="2"/>
      <scheme val="minor"/>
    </font>
    <font>
      <sz val="11"/>
      <color theme="0" tint="-0.34998626667073579"/>
      <name val="Calibri"/>
      <family val="2"/>
    </font>
    <font>
      <sz val="11"/>
      <color theme="1"/>
      <name val="Arial"/>
      <family val="2"/>
    </font>
    <font>
      <sz val="8"/>
      <color theme="1"/>
      <name val="Arial"/>
      <family val="2"/>
    </font>
    <font>
      <sz val="8"/>
      <color rgb="FFFF0000"/>
      <name val="Arial"/>
      <family val="2"/>
    </font>
    <font>
      <sz val="9"/>
      <color theme="1"/>
      <name val="Arial"/>
      <family val="2"/>
    </font>
    <font>
      <sz val="9"/>
      <color theme="1"/>
      <name val="Calibri"/>
      <family val="2"/>
      <scheme val="minor"/>
    </font>
    <font>
      <b/>
      <sz val="12"/>
      <color theme="1"/>
      <name val="Calibri Light"/>
      <family val="2"/>
      <scheme val="major"/>
    </font>
    <font>
      <sz val="10"/>
      <color rgb="FFFF0000"/>
      <name val="Calibri"/>
      <family val="2"/>
    </font>
    <font>
      <sz val="10"/>
      <color theme="1"/>
      <name val="Calibri"/>
      <family val="2"/>
    </font>
    <font>
      <sz val="11"/>
      <color theme="1"/>
      <name val="Calibri Light"/>
      <family val="2"/>
      <scheme val="major"/>
    </font>
    <font>
      <b/>
      <sz val="11"/>
      <color theme="1"/>
      <name val="Calibri Light"/>
      <family val="2"/>
      <scheme val="major"/>
    </font>
    <font>
      <sz val="12"/>
      <color theme="1"/>
      <name val="Calibri Light"/>
      <family val="2"/>
      <scheme val="major"/>
    </font>
    <font>
      <sz val="12"/>
      <name val="Calibri Light"/>
      <family val="2"/>
      <scheme val="major"/>
    </font>
    <font>
      <sz val="8"/>
      <color theme="3" tint="0.34998626667073579"/>
      <name val="Calibri Light"/>
      <family val="2"/>
      <scheme val="major"/>
    </font>
    <font>
      <sz val="11"/>
      <color theme="3" tint="0.34998626667073579"/>
      <name val="Calibri"/>
      <family val="2"/>
    </font>
    <font>
      <b/>
      <sz val="11"/>
      <color rgb="FF000000"/>
      <name val="Calibri Light"/>
      <family val="2"/>
      <scheme val="major"/>
    </font>
    <font>
      <b/>
      <sz val="11"/>
      <name val="Calibri"/>
      <family val="2"/>
      <scheme val="minor"/>
    </font>
    <font>
      <b/>
      <sz val="8"/>
      <name val="Calibri"/>
      <family val="2"/>
      <scheme val="minor"/>
    </font>
    <font>
      <b/>
      <sz val="9.5"/>
      <color theme="1"/>
      <name val="Calibri"/>
      <family val="2"/>
      <scheme val="minor"/>
    </font>
    <font>
      <b/>
      <sz val="11"/>
      <color theme="1" tint="0.499984740745262"/>
      <name val="Calibri"/>
      <family val="2"/>
    </font>
    <font>
      <sz val="11"/>
      <color theme="1" tint="0.499984740745262"/>
      <name val="Calibri"/>
      <family val="2"/>
    </font>
    <font>
      <sz val="11"/>
      <color theme="0"/>
      <name val="Calibri"/>
      <family val="2"/>
      <scheme val="minor"/>
    </font>
    <font>
      <vertAlign val="subscript"/>
      <sz val="11"/>
      <color theme="1"/>
      <name val="Calibri"/>
      <family val="2"/>
      <scheme val="minor"/>
    </font>
    <font>
      <b/>
      <sz val="11"/>
      <color rgb="FFFFFFFF"/>
      <name val="Calibri"/>
      <family val="2"/>
      <scheme val="minor"/>
    </font>
    <font>
      <sz val="11"/>
      <color rgb="FF002060"/>
      <name val="Calibri"/>
      <family val="2"/>
      <scheme val="minor"/>
    </font>
    <font>
      <sz val="11"/>
      <color rgb="FFFF0000"/>
      <name val="Calibri"/>
      <family val="2"/>
      <scheme val="minor"/>
    </font>
    <font>
      <sz val="11"/>
      <color rgb="FF242424"/>
      <name val="Aptos Narrow"/>
      <family val="2"/>
    </font>
    <font>
      <b/>
      <sz val="11"/>
      <color rgb="FF242424"/>
      <name val="Aptos Narrow"/>
      <family val="2"/>
    </font>
    <font>
      <sz val="11"/>
      <color rgb="FF242424"/>
      <name val="Aptos Narrow"/>
      <family val="2"/>
    </font>
    <font>
      <sz val="10"/>
      <color rgb="FFC00000"/>
      <name val="Arial"/>
      <family val="2"/>
    </font>
    <font>
      <vertAlign val="subscript"/>
      <sz val="11"/>
      <color rgb="FF000000"/>
      <name val="Calibri"/>
      <family val="2"/>
    </font>
    <font>
      <vertAlign val="superscript"/>
      <sz val="11"/>
      <color rgb="FF000000"/>
      <name val="Calibri"/>
      <family val="2"/>
    </font>
    <font>
      <vertAlign val="subscript"/>
      <sz val="12"/>
      <color rgb="FF000000"/>
      <name val="Calibri"/>
      <family val="2"/>
    </font>
    <font>
      <sz val="11"/>
      <color rgb="FF002060"/>
      <name val="Calibri"/>
      <family val="2"/>
    </font>
    <font>
      <b/>
      <sz val="12"/>
      <color rgb="FF000000"/>
      <name val="Calibri Light"/>
      <family val="2"/>
    </font>
    <font>
      <b/>
      <sz val="11"/>
      <color rgb="FF000000"/>
      <name val="Calibri Light"/>
      <family val="2"/>
    </font>
    <font>
      <sz val="11"/>
      <color theme="1" tint="0.34998626667073579"/>
      <name val="Calibri"/>
      <family val="2"/>
    </font>
    <font>
      <vertAlign val="subscript"/>
      <sz val="11"/>
      <color theme="1" tint="0.34998626667073579"/>
      <name val="Calibri"/>
      <family val="2"/>
    </font>
    <font>
      <sz val="11"/>
      <color theme="1"/>
      <name val="Arial"/>
    </font>
    <font>
      <sz val="11"/>
      <color rgb="FF000000"/>
      <name val="Calibri"/>
      <scheme val="minor"/>
    </font>
    <font>
      <vertAlign val="subscript"/>
      <sz val="11"/>
      <color theme="1"/>
      <name val="Arial"/>
      <family val="2"/>
    </font>
    <font>
      <vertAlign val="subscript"/>
      <sz val="10"/>
      <color rgb="FF000000"/>
      <name val="Calibri"/>
      <family val="2"/>
      <scheme val="minor"/>
    </font>
    <font>
      <sz val="10"/>
      <color rgb="FF000000"/>
      <name val="Calibri"/>
      <family val="2"/>
      <scheme val="minor"/>
    </font>
    <font>
      <sz val="11"/>
      <color rgb="FF000000"/>
      <name val="Calibri Light"/>
      <family val="2"/>
      <scheme val="major"/>
    </font>
    <font>
      <b/>
      <vertAlign val="subscript"/>
      <sz val="11"/>
      <color theme="0"/>
      <name val="Calibri"/>
      <family val="2"/>
      <scheme val="minor"/>
    </font>
    <font>
      <b/>
      <vertAlign val="superscript"/>
      <sz val="11"/>
      <color theme="0"/>
      <name val="Calibri"/>
      <family val="2"/>
      <scheme val="minor"/>
    </font>
    <font>
      <sz val="9"/>
      <color indexed="81"/>
      <name val="Tahoma"/>
      <charset val="1"/>
    </font>
    <font>
      <b/>
      <sz val="9"/>
      <color indexed="81"/>
      <name val="Tahoma"/>
      <charset val="1"/>
    </font>
    <font>
      <b/>
      <vertAlign val="subscript"/>
      <sz val="10"/>
      <color theme="1"/>
      <name val="Calibri"/>
      <family val="2"/>
      <scheme val="minor"/>
    </font>
  </fonts>
  <fills count="50">
    <fill>
      <patternFill patternType="none"/>
    </fill>
    <fill>
      <patternFill patternType="gray125"/>
    </fill>
    <fill>
      <patternFill patternType="solid">
        <fgColor theme="7" tint="0.79998168889431442"/>
        <bgColor indexed="64"/>
      </patternFill>
    </fill>
    <fill>
      <patternFill patternType="solid">
        <fgColor theme="2"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rgb="FFE2EFDA"/>
        <bgColor indexed="64"/>
      </patternFill>
    </fill>
    <fill>
      <patternFill patternType="solid">
        <fgColor theme="8" tint="0.79998168889431442"/>
        <bgColor indexed="64"/>
      </patternFill>
    </fill>
    <fill>
      <patternFill patternType="solid">
        <fgColor rgb="FFFFF2CC"/>
        <bgColor indexed="64"/>
      </patternFill>
    </fill>
    <fill>
      <patternFill patternType="solid">
        <fgColor rgb="FFFCE4D6"/>
        <bgColor indexed="64"/>
      </patternFill>
    </fill>
    <fill>
      <patternFill patternType="solid">
        <fgColor rgb="FFFFFFFF"/>
        <bgColor indexed="64"/>
      </patternFill>
    </fill>
    <fill>
      <patternFill patternType="solid">
        <fgColor rgb="FF92D050"/>
        <bgColor indexed="64"/>
      </patternFill>
    </fill>
    <fill>
      <patternFill patternType="solid">
        <fgColor rgb="FFFFC7CE"/>
      </patternFill>
    </fill>
    <fill>
      <patternFill patternType="solid">
        <fgColor theme="5" tint="0.79998168889431442"/>
        <bgColor indexed="64"/>
      </patternFill>
    </fill>
    <fill>
      <patternFill patternType="solid">
        <fgColor rgb="FF006752"/>
        <bgColor indexed="64"/>
      </patternFill>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rgb="FFFFFFFF"/>
      </patternFill>
    </fill>
    <fill>
      <patternFill patternType="solid">
        <fgColor rgb="FFFFC000"/>
        <bgColor indexed="64"/>
      </patternFill>
    </fill>
    <fill>
      <patternFill patternType="solid">
        <fgColor rgb="FFF4B084"/>
        <bgColor indexed="64"/>
      </patternFill>
    </fill>
    <fill>
      <patternFill patternType="solid">
        <fgColor theme="0" tint="-4.9989318521683403E-2"/>
        <bgColor indexed="64"/>
      </patternFill>
    </fill>
    <fill>
      <patternFill patternType="solid">
        <fgColor theme="4"/>
        <bgColor indexed="64"/>
      </patternFill>
    </fill>
    <fill>
      <patternFill patternType="solid">
        <fgColor rgb="FFFFFFCC"/>
        <bgColor indexed="64"/>
      </patternFill>
    </fill>
    <fill>
      <patternFill patternType="solid">
        <fgColor rgb="FFFFFFFF"/>
        <bgColor rgb="FFFFFFFF"/>
      </patternFill>
    </fill>
    <fill>
      <patternFill patternType="solid">
        <fgColor rgb="FF003F7E"/>
        <bgColor rgb="FF003F7E"/>
      </patternFill>
    </fill>
    <fill>
      <patternFill patternType="solid">
        <fgColor theme="6" tint="0.59999389629810485"/>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rgb="FFFFCDCD"/>
        <bgColor indexed="64"/>
      </patternFill>
    </fill>
    <fill>
      <patternFill patternType="solid">
        <fgColor rgb="FFFFCDCD"/>
        <bgColor rgb="FFFFFFFF"/>
      </patternFill>
    </fill>
    <fill>
      <patternFill patternType="solid">
        <fgColor rgb="FFCED9FE"/>
        <bgColor indexed="64"/>
      </patternFill>
    </fill>
    <fill>
      <patternFill patternType="solid">
        <fgColor rgb="FFCED9FE"/>
        <bgColor rgb="FFFFFFFF"/>
      </patternFill>
    </fill>
    <fill>
      <patternFill patternType="solid">
        <fgColor theme="0" tint="-4.9989318521683403E-2"/>
        <bgColor rgb="FFFFFFFF"/>
      </patternFill>
    </fill>
    <fill>
      <patternFill patternType="solid">
        <fgColor rgb="FF00B0F0"/>
        <bgColor indexed="64"/>
      </patternFill>
    </fill>
    <fill>
      <patternFill patternType="solid">
        <fgColor rgb="FFD9E1F2"/>
        <bgColor indexed="64"/>
      </patternFill>
    </fill>
    <fill>
      <patternFill patternType="solid">
        <fgColor rgb="FF00CCFF"/>
        <bgColor indexed="64"/>
      </patternFill>
    </fill>
    <fill>
      <patternFill patternType="solid">
        <fgColor theme="2"/>
        <bgColor indexed="64"/>
      </patternFill>
    </fill>
    <fill>
      <patternFill patternType="solid">
        <fgColor rgb="FFB1EEFF"/>
        <bgColor indexed="64"/>
      </patternFill>
    </fill>
    <fill>
      <patternFill patternType="solid">
        <fgColor rgb="FF00FFFF"/>
        <bgColor indexed="64"/>
      </patternFill>
    </fill>
    <fill>
      <patternFill patternType="solid">
        <fgColor theme="4"/>
      </patternFill>
    </fill>
    <fill>
      <patternFill patternType="solid">
        <fgColor rgb="FF006752"/>
        <bgColor rgb="FF000000"/>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D0CECE"/>
        <bgColor rgb="FF000000"/>
      </patternFill>
    </fill>
    <fill>
      <patternFill patternType="solid">
        <fgColor rgb="FF000000"/>
        <bgColor rgb="FF000000"/>
      </patternFill>
    </fill>
    <fill>
      <patternFill patternType="solid">
        <fgColor theme="7"/>
        <bgColor indexed="64"/>
      </patternFill>
    </fill>
    <fill>
      <patternFill patternType="solid">
        <fgColor theme="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style="thin">
        <color rgb="FF262626"/>
      </left>
      <right style="thin">
        <color rgb="FF262626"/>
      </right>
      <top style="thin">
        <color rgb="FF262626"/>
      </top>
      <bottom style="thin">
        <color rgb="FF262626"/>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262626"/>
      </left>
      <right/>
      <top style="thin">
        <color rgb="FF262626"/>
      </top>
      <bottom style="thin">
        <color rgb="FF262626"/>
      </bottom>
      <diagonal/>
    </border>
    <border>
      <left style="thin">
        <color rgb="FF262626"/>
      </left>
      <right/>
      <top style="thin">
        <color rgb="FF262626"/>
      </top>
      <bottom/>
      <diagonal/>
    </border>
    <border>
      <left/>
      <right style="thin">
        <color rgb="FF262626"/>
      </right>
      <top style="thin">
        <color rgb="FF262626"/>
      </top>
      <bottom/>
      <diagonal/>
    </border>
    <border>
      <left style="thin">
        <color rgb="FF262626"/>
      </left>
      <right/>
      <top/>
      <bottom style="thin">
        <color rgb="FF262626"/>
      </bottom>
      <diagonal/>
    </border>
    <border>
      <left/>
      <right style="thin">
        <color rgb="FF262626"/>
      </right>
      <top/>
      <bottom style="thin">
        <color rgb="FF262626"/>
      </bottom>
      <diagonal/>
    </border>
    <border>
      <left style="thin">
        <color rgb="FF262626"/>
      </left>
      <right style="thin">
        <color rgb="FF262626"/>
      </right>
      <top style="thin">
        <color rgb="FF262626"/>
      </top>
      <bottom/>
      <diagonal/>
    </border>
    <border>
      <left style="thin">
        <color rgb="FF262626"/>
      </left>
      <right style="thin">
        <color rgb="FF262626"/>
      </right>
      <top/>
      <bottom style="thin">
        <color rgb="FF262626"/>
      </bottom>
      <diagonal/>
    </border>
    <border>
      <left/>
      <right style="thin">
        <color rgb="FF262626"/>
      </right>
      <top style="thin">
        <color rgb="FF262626"/>
      </top>
      <bottom style="thin">
        <color rgb="FF262626"/>
      </bottom>
      <diagonal/>
    </border>
    <border>
      <left/>
      <right/>
      <top/>
      <bottom style="medium">
        <color rgb="FF2EBBB8"/>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rgb="FF000000"/>
      </top>
      <bottom style="medium">
        <color indexed="6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indexed="64"/>
      </right>
      <top/>
      <bottom/>
      <diagonal/>
    </border>
    <border>
      <left style="thin">
        <color rgb="FF000000"/>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8">
    <xf numFmtId="0" fontId="0" fillId="0" borderId="0"/>
    <xf numFmtId="0" fontId="3"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7"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0" fontId="18" fillId="0" borderId="0"/>
    <xf numFmtId="43" fontId="19" fillId="0" borderId="0" applyFont="0" applyFill="0" applyBorder="0" applyAlignment="0" applyProtection="0"/>
    <xf numFmtId="0" fontId="20" fillId="14" borderId="0" applyNumberFormat="0" applyBorder="0" applyAlignment="0" applyProtection="0"/>
    <xf numFmtId="0" fontId="7" fillId="0" borderId="0"/>
    <xf numFmtId="9" fontId="7" fillId="0" borderId="0" applyFont="0" applyFill="0" applyBorder="0" applyAlignment="0" applyProtection="0"/>
    <xf numFmtId="0" fontId="33" fillId="0" borderId="0"/>
    <xf numFmtId="0" fontId="52" fillId="0" borderId="0" applyNumberFormat="0" applyFill="0" applyBorder="0" applyAlignment="0" applyProtection="0"/>
    <xf numFmtId="0" fontId="33" fillId="0" borderId="0"/>
    <xf numFmtId="0" fontId="7" fillId="0" borderId="0"/>
    <xf numFmtId="0" fontId="6" fillId="0" borderId="0"/>
    <xf numFmtId="9" fontId="78" fillId="0" borderId="0" applyFont="0" applyFill="0" applyBorder="0" applyAlignment="0" applyProtection="0"/>
    <xf numFmtId="0" fontId="78" fillId="0" borderId="0"/>
    <xf numFmtId="0" fontId="7" fillId="0" borderId="0"/>
    <xf numFmtId="43" fontId="6" fillId="0" borderId="0" applyFont="0" applyFill="0" applyBorder="0" applyAlignment="0" applyProtection="0"/>
    <xf numFmtId="9" fontId="6" fillId="0" borderId="0" applyFont="0" applyFill="0" applyBorder="0" applyAlignment="0" applyProtection="0"/>
    <xf numFmtId="43" fontId="78"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98" fillId="42" borderId="0" applyNumberFormat="0" applyBorder="0" applyAlignment="0" applyProtection="0"/>
  </cellStyleXfs>
  <cellXfs count="782">
    <xf numFmtId="0" fontId="0" fillId="0" borderId="0" xfId="0"/>
    <xf numFmtId="0" fontId="1" fillId="0" borderId="0" xfId="0" applyFont="1"/>
    <xf numFmtId="164" fontId="1" fillId="0" borderId="0" xfId="0" applyNumberFormat="1" applyFont="1"/>
    <xf numFmtId="164" fontId="0" fillId="0" borderId="0" xfId="0" applyNumberFormat="1"/>
    <xf numFmtId="2" fontId="0" fillId="0" borderId="0" xfId="0" applyNumberFormat="1"/>
    <xf numFmtId="9" fontId="0" fillId="0" borderId="0" xfId="0" applyNumberFormat="1"/>
    <xf numFmtId="0" fontId="3" fillId="0" borderId="0" xfId="1"/>
    <xf numFmtId="2" fontId="1" fillId="2" borderId="0" xfId="0" applyNumberFormat="1" applyFont="1" applyFill="1"/>
    <xf numFmtId="2" fontId="0" fillId="2" borderId="0" xfId="0" applyNumberFormat="1" applyFill="1"/>
    <xf numFmtId="0" fontId="1" fillId="2" borderId="0" xfId="0" applyFont="1" applyFill="1"/>
    <xf numFmtId="0" fontId="0" fillId="2" borderId="0" xfId="0" applyFill="1"/>
    <xf numFmtId="0" fontId="0" fillId="3" borderId="0" xfId="0" applyFill="1"/>
    <xf numFmtId="2" fontId="0" fillId="3" borderId="0" xfId="0" applyNumberFormat="1" applyFill="1"/>
    <xf numFmtId="164" fontId="0" fillId="3" borderId="0" xfId="0" applyNumberFormat="1" applyFill="1"/>
    <xf numFmtId="0" fontId="0" fillId="2" borderId="0" xfId="0" applyFill="1" applyAlignment="1">
      <alignment wrapText="1"/>
    </xf>
    <xf numFmtId="0" fontId="0" fillId="2" borderId="0" xfId="0" applyFill="1" applyAlignment="1">
      <alignment horizontal="right"/>
    </xf>
    <xf numFmtId="0" fontId="4" fillId="0" borderId="0" xfId="0" applyFont="1"/>
    <xf numFmtId="164" fontId="0" fillId="0" borderId="0" xfId="0" applyNumberFormat="1" applyAlignment="1">
      <alignment horizontal="right"/>
    </xf>
    <xf numFmtId="0" fontId="0" fillId="0" borderId="0" xfId="0" applyAlignment="1">
      <alignment horizontal="center"/>
    </xf>
    <xf numFmtId="0" fontId="0" fillId="3" borderId="0" xfId="0" applyFill="1" applyAlignment="1">
      <alignment horizontal="center"/>
    </xf>
    <xf numFmtId="164" fontId="0" fillId="3" borderId="0" xfId="0" applyNumberFormat="1" applyFill="1" applyAlignment="1">
      <alignment horizontal="right"/>
    </xf>
    <xf numFmtId="0" fontId="0" fillId="3" borderId="0" xfId="0" applyFill="1" applyAlignment="1">
      <alignment horizontal="right"/>
    </xf>
    <xf numFmtId="9" fontId="0" fillId="3" borderId="0" xfId="0" applyNumberFormat="1" applyFill="1"/>
    <xf numFmtId="0" fontId="3" fillId="3" borderId="0" xfId="1" applyFill="1"/>
    <xf numFmtId="0" fontId="4" fillId="0" borderId="0" xfId="0" applyFont="1" applyAlignment="1">
      <alignment wrapText="1"/>
    </xf>
    <xf numFmtId="1" fontId="0" fillId="2" borderId="0" xfId="0" applyNumberFormat="1" applyFill="1"/>
    <xf numFmtId="2" fontId="0" fillId="2" borderId="0" xfId="0" applyNumberFormat="1" applyFill="1" applyAlignment="1">
      <alignment horizontal="right"/>
    </xf>
    <xf numFmtId="1" fontId="0" fillId="0" borderId="0" xfId="0" applyNumberFormat="1"/>
    <xf numFmtId="0" fontId="7" fillId="0" borderId="0" xfId="4"/>
    <xf numFmtId="0" fontId="9" fillId="0" borderId="0" xfId="4" applyFont="1"/>
    <xf numFmtId="164" fontId="0" fillId="0" borderId="1" xfId="6" applyNumberFormat="1" applyFont="1" applyBorder="1" applyAlignment="1">
      <alignment horizontal="center"/>
    </xf>
    <xf numFmtId="0" fontId="7" fillId="0" borderId="0" xfId="4" applyAlignment="1">
      <alignment horizontal="left" vertical="center"/>
    </xf>
    <xf numFmtId="164" fontId="0" fillId="0" borderId="0" xfId="3" applyNumberFormat="1" applyFont="1"/>
    <xf numFmtId="168" fontId="0" fillId="0" borderId="0" xfId="2" applyNumberFormat="1" applyFont="1"/>
    <xf numFmtId="0" fontId="17" fillId="12" borderId="0" xfId="0" applyFont="1" applyFill="1" applyAlignment="1">
      <alignment wrapText="1"/>
    </xf>
    <xf numFmtId="0" fontId="0" fillId="0" borderId="0" xfId="0" applyAlignment="1">
      <alignment horizontal="right"/>
    </xf>
    <xf numFmtId="0" fontId="0" fillId="0" borderId="0" xfId="0" applyAlignment="1">
      <alignment wrapText="1"/>
    </xf>
    <xf numFmtId="164" fontId="7" fillId="0" borderId="0" xfId="3" applyNumberFormat="1" applyFont="1"/>
    <xf numFmtId="0" fontId="0" fillId="0" borderId="1" xfId="0" applyBorder="1"/>
    <xf numFmtId="0" fontId="0" fillId="0" borderId="1" xfId="0" applyBorder="1" applyAlignment="1">
      <alignment horizontal="center" vertical="center"/>
    </xf>
    <xf numFmtId="0" fontId="0" fillId="0" borderId="0" xfId="0" applyAlignment="1">
      <alignment horizontal="center" vertical="center"/>
    </xf>
    <xf numFmtId="168" fontId="0" fillId="0" borderId="0" xfId="0" applyNumberFormat="1"/>
    <xf numFmtId="0" fontId="7" fillId="0" borderId="0" xfId="4" applyAlignment="1">
      <alignment horizontal="center" vertical="center"/>
    </xf>
    <xf numFmtId="0" fontId="0" fillId="0" borderId="1" xfId="0" applyBorder="1" applyAlignment="1">
      <alignment horizontal="center" vertical="center" wrapText="1"/>
    </xf>
    <xf numFmtId="0" fontId="7" fillId="0" borderId="0" xfId="4" applyAlignment="1">
      <alignment horizontal="right"/>
    </xf>
    <xf numFmtId="0" fontId="21" fillId="0" borderId="0" xfId="0" applyFont="1" applyAlignment="1">
      <alignment horizontal="center" vertical="center"/>
    </xf>
    <xf numFmtId="9" fontId="7" fillId="0" borderId="0" xfId="3" applyFont="1"/>
    <xf numFmtId="0" fontId="0" fillId="4" borderId="0" xfId="0" applyFill="1"/>
    <xf numFmtId="0" fontId="9" fillId="0" borderId="1" xfId="4" applyFont="1" applyBorder="1" applyAlignment="1">
      <alignment horizontal="center" vertical="center"/>
    </xf>
    <xf numFmtId="0" fontId="9" fillId="0" borderId="1" xfId="4" applyFont="1" applyBorder="1" applyAlignment="1">
      <alignment horizontal="center" vertical="center" wrapText="1"/>
    </xf>
    <xf numFmtId="0" fontId="0" fillId="0" borderId="0" xfId="0" applyAlignment="1">
      <alignment horizontal="right" vertical="center"/>
    </xf>
    <xf numFmtId="0" fontId="28" fillId="0" borderId="0" xfId="0" applyFont="1" applyAlignment="1">
      <alignment vertical="center"/>
    </xf>
    <xf numFmtId="0" fontId="12" fillId="0" borderId="0" xfId="0" applyFont="1" applyAlignment="1">
      <alignment vertical="center"/>
    </xf>
    <xf numFmtId="180" fontId="12" fillId="0" borderId="0" xfId="0" applyNumberFormat="1" applyFont="1" applyAlignment="1">
      <alignment horizontal="center" vertical="center"/>
    </xf>
    <xf numFmtId="0" fontId="3" fillId="0" borderId="0" xfId="1" applyAlignment="1">
      <alignment vertical="center"/>
    </xf>
    <xf numFmtId="2" fontId="12" fillId="0" borderId="0" xfId="0" applyNumberFormat="1" applyFont="1" applyAlignment="1">
      <alignment horizontal="center" vertical="center"/>
    </xf>
    <xf numFmtId="0" fontId="29" fillId="0" borderId="0" xfId="0" applyFont="1" applyAlignment="1">
      <alignment vertical="center"/>
    </xf>
    <xf numFmtId="0" fontId="30" fillId="0" borderId="0" xfId="0" applyFont="1" applyAlignment="1">
      <alignment vertical="center"/>
    </xf>
    <xf numFmtId="2" fontId="12" fillId="22" borderId="0" xfId="0" applyNumberFormat="1" applyFont="1" applyFill="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31" fillId="0" borderId="0" xfId="0" applyFont="1" applyAlignment="1">
      <alignment vertical="center"/>
    </xf>
    <xf numFmtId="1" fontId="12" fillId="0" borderId="0" xfId="0" applyNumberFormat="1" applyFont="1" applyAlignment="1">
      <alignment horizontal="center" vertical="center"/>
    </xf>
    <xf numFmtId="165" fontId="12" fillId="0" borderId="0" xfId="0" applyNumberFormat="1" applyFont="1" applyAlignment="1">
      <alignment horizontal="center" vertical="center"/>
    </xf>
    <xf numFmtId="165" fontId="7" fillId="0" borderId="0" xfId="4" applyNumberFormat="1"/>
    <xf numFmtId="0" fontId="0" fillId="0" borderId="1" xfId="0" applyBorder="1" applyAlignment="1">
      <alignment horizontal="center"/>
    </xf>
    <xf numFmtId="164" fontId="0" fillId="0" borderId="5" xfId="6" applyNumberFormat="1" applyFont="1" applyBorder="1" applyAlignment="1">
      <alignment horizontal="center"/>
    </xf>
    <xf numFmtId="0" fontId="21" fillId="0" borderId="0" xfId="0" applyFont="1" applyAlignment="1">
      <alignment horizontal="center"/>
    </xf>
    <xf numFmtId="0" fontId="21" fillId="0" borderId="1" xfId="0" applyFont="1" applyBorder="1" applyAlignment="1">
      <alignment horizontal="center"/>
    </xf>
    <xf numFmtId="1" fontId="0" fillId="0" borderId="0" xfId="0" applyNumberFormat="1" applyAlignment="1">
      <alignment horizontal="center" vertical="center"/>
    </xf>
    <xf numFmtId="187" fontId="0" fillId="0" borderId="1" xfId="0" applyNumberFormat="1" applyBorder="1" applyAlignment="1">
      <alignment horizontal="center" vertical="center"/>
    </xf>
    <xf numFmtId="1" fontId="0" fillId="0" borderId="1" xfId="0" applyNumberFormat="1" applyBorder="1" applyAlignment="1">
      <alignment horizontal="center" vertical="center"/>
    </xf>
    <xf numFmtId="174" fontId="0" fillId="0" borderId="0" xfId="0" applyNumberFormat="1" applyAlignment="1">
      <alignment horizontal="center"/>
    </xf>
    <xf numFmtId="189" fontId="0" fillId="0" borderId="0" xfId="0" applyNumberFormat="1" applyAlignment="1">
      <alignment horizontal="center"/>
    </xf>
    <xf numFmtId="188" fontId="0" fillId="0" borderId="0" xfId="0" applyNumberFormat="1" applyAlignment="1">
      <alignment horizontal="center"/>
    </xf>
    <xf numFmtId="0" fontId="32" fillId="24" borderId="1" xfId="4" applyFont="1" applyFill="1" applyBorder="1" applyAlignment="1">
      <alignment horizontal="center" vertical="center"/>
    </xf>
    <xf numFmtId="0" fontId="33" fillId="0" borderId="0" xfId="4" applyFont="1"/>
    <xf numFmtId="0" fontId="33" fillId="0" borderId="0" xfId="4" applyFont="1" applyAlignment="1">
      <alignment horizontal="center" vertical="center"/>
    </xf>
    <xf numFmtId="168" fontId="33" fillId="0" borderId="0" xfId="4" applyNumberFormat="1" applyFont="1"/>
    <xf numFmtId="1" fontId="33" fillId="0" borderId="0" xfId="4" applyNumberFormat="1" applyFont="1" applyAlignment="1">
      <alignment horizontal="center" vertical="center"/>
    </xf>
    <xf numFmtId="168" fontId="33" fillId="0" borderId="0" xfId="4" applyNumberFormat="1" applyFont="1" applyAlignment="1">
      <alignment horizontal="center" vertical="center"/>
    </xf>
    <xf numFmtId="173" fontId="33" fillId="6" borderId="1" xfId="5" applyNumberFormat="1" applyFont="1" applyFill="1" applyBorder="1" applyAlignment="1">
      <alignment horizontal="center" vertical="center"/>
    </xf>
    <xf numFmtId="0" fontId="37" fillId="0" borderId="0" xfId="4" applyFont="1"/>
    <xf numFmtId="3" fontId="36" fillId="0" borderId="0" xfId="4" applyNumberFormat="1" applyFont="1"/>
    <xf numFmtId="0" fontId="36" fillId="0" borderId="0" xfId="4" applyFont="1"/>
    <xf numFmtId="0" fontId="33" fillId="0" borderId="0" xfId="4" applyFont="1" applyAlignment="1">
      <alignment horizontal="center"/>
    </xf>
    <xf numFmtId="173" fontId="33" fillId="19" borderId="1" xfId="5" applyNumberFormat="1" applyFont="1" applyFill="1" applyBorder="1" applyAlignment="1">
      <alignment horizontal="center" vertical="center"/>
    </xf>
    <xf numFmtId="174" fontId="33" fillId="19" borderId="1" xfId="4" applyNumberFormat="1" applyFont="1" applyFill="1" applyBorder="1" applyAlignment="1">
      <alignment horizontal="center"/>
    </xf>
    <xf numFmtId="173" fontId="33" fillId="23" borderId="1" xfId="5" applyNumberFormat="1" applyFont="1" applyFill="1" applyBorder="1" applyAlignment="1">
      <alignment horizontal="center" vertical="center"/>
    </xf>
    <xf numFmtId="167" fontId="33" fillId="0" borderId="1" xfId="4" applyNumberFormat="1" applyFont="1" applyBorder="1" applyAlignment="1">
      <alignment horizontal="center" vertical="center"/>
    </xf>
    <xf numFmtId="174" fontId="33" fillId="23" borderId="1" xfId="4" applyNumberFormat="1" applyFont="1" applyFill="1" applyBorder="1" applyAlignment="1">
      <alignment horizontal="center"/>
    </xf>
    <xf numFmtId="0" fontId="39" fillId="24" borderId="1" xfId="4" applyFont="1" applyFill="1" applyBorder="1" applyAlignment="1">
      <alignment horizontal="center" vertical="center"/>
    </xf>
    <xf numFmtId="174" fontId="33" fillId="0" borderId="1" xfId="4" applyNumberFormat="1" applyFont="1" applyBorder="1" applyAlignment="1">
      <alignment horizontal="center" vertical="center"/>
    </xf>
    <xf numFmtId="190" fontId="40" fillId="0" borderId="0" xfId="4" applyNumberFormat="1" applyFont="1" applyAlignment="1">
      <alignment horizontal="center" vertical="center"/>
    </xf>
    <xf numFmtId="185" fontId="33" fillId="0" borderId="1" xfId="4" applyNumberFormat="1" applyFont="1" applyBorder="1" applyAlignment="1">
      <alignment horizontal="center" vertical="center"/>
    </xf>
    <xf numFmtId="0" fontId="33" fillId="0" borderId="0" xfId="4" applyFont="1" applyAlignment="1">
      <alignment horizontal="right"/>
    </xf>
    <xf numFmtId="173" fontId="33" fillId="4" borderId="1" xfId="5" applyNumberFormat="1" applyFont="1" applyFill="1" applyBorder="1" applyAlignment="1">
      <alignment horizontal="center" vertical="center"/>
    </xf>
    <xf numFmtId="0" fontId="33" fillId="15" borderId="0" xfId="4" applyFont="1" applyFill="1" applyAlignment="1">
      <alignment horizontal="center" vertical="center"/>
    </xf>
    <xf numFmtId="0" fontId="34" fillId="0" borderId="0" xfId="4" applyFont="1" applyAlignment="1">
      <alignment horizontal="right"/>
    </xf>
    <xf numFmtId="181" fontId="33" fillId="0" borderId="1" xfId="4" applyNumberFormat="1" applyFont="1" applyBorder="1" applyAlignment="1">
      <alignment horizontal="center" vertical="center"/>
    </xf>
    <xf numFmtId="192" fontId="40" fillId="0" borderId="0" xfId="4" applyNumberFormat="1" applyFont="1" applyAlignment="1">
      <alignment horizontal="center" vertical="center"/>
    </xf>
    <xf numFmtId="1" fontId="33" fillId="0" borderId="0" xfId="4" applyNumberFormat="1" applyFont="1"/>
    <xf numFmtId="0" fontId="35" fillId="0" borderId="1" xfId="4" applyFont="1" applyBorder="1" applyAlignment="1">
      <alignment horizontal="center" vertical="center"/>
    </xf>
    <xf numFmtId="175" fontId="35" fillId="0" borderId="1" xfId="5" applyNumberFormat="1" applyFont="1" applyBorder="1" applyAlignment="1">
      <alignment horizontal="center" vertical="center"/>
    </xf>
    <xf numFmtId="169" fontId="36" fillId="0" borderId="0" xfId="4" applyNumberFormat="1" applyFont="1"/>
    <xf numFmtId="166" fontId="36" fillId="0" borderId="0" xfId="4" applyNumberFormat="1" applyFont="1"/>
    <xf numFmtId="164" fontId="33" fillId="15" borderId="0" xfId="3" applyNumberFormat="1" applyFont="1" applyFill="1" applyAlignment="1">
      <alignment horizontal="center" vertical="center"/>
    </xf>
    <xf numFmtId="176" fontId="33" fillId="6" borderId="1" xfId="2" applyNumberFormat="1" applyFont="1" applyFill="1" applyBorder="1" applyAlignment="1">
      <alignment horizontal="center" vertical="center"/>
    </xf>
    <xf numFmtId="186" fontId="34" fillId="0" borderId="0" xfId="5" applyNumberFormat="1" applyFont="1" applyAlignment="1">
      <alignment horizontal="center" vertical="center"/>
    </xf>
    <xf numFmtId="169" fontId="33" fillId="0" borderId="0" xfId="4" applyNumberFormat="1" applyFont="1"/>
    <xf numFmtId="0" fontId="38" fillId="0" borderId="0" xfId="0" applyFont="1"/>
    <xf numFmtId="175" fontId="34" fillId="21" borderId="1" xfId="5" applyNumberFormat="1" applyFont="1" applyFill="1" applyBorder="1" applyAlignment="1">
      <alignment horizontal="center" vertical="center"/>
    </xf>
    <xf numFmtId="0" fontId="37" fillId="0" borderId="0" xfId="0" applyFont="1"/>
    <xf numFmtId="3" fontId="36" fillId="0" borderId="0" xfId="0" applyNumberFormat="1" applyFont="1"/>
    <xf numFmtId="0" fontId="36" fillId="0" borderId="0" xfId="0" applyFont="1"/>
    <xf numFmtId="2" fontId="33" fillId="0" borderId="0" xfId="4" applyNumberFormat="1" applyFont="1"/>
    <xf numFmtId="164" fontId="33" fillId="0" borderId="1" xfId="6" applyNumberFormat="1" applyFont="1" applyBorder="1" applyAlignment="1">
      <alignment horizontal="center" vertical="center"/>
    </xf>
    <xf numFmtId="9" fontId="36" fillId="0" borderId="0" xfId="3" applyFont="1"/>
    <xf numFmtId="0" fontId="37" fillId="0" borderId="0" xfId="0" applyFont="1" applyAlignment="1">
      <alignment wrapText="1"/>
    </xf>
    <xf numFmtId="170" fontId="33" fillId="0" borderId="0" xfId="4" applyNumberFormat="1" applyFont="1"/>
    <xf numFmtId="171" fontId="33" fillId="0" borderId="0" xfId="4" applyNumberFormat="1" applyFont="1"/>
    <xf numFmtId="172" fontId="33" fillId="0" borderId="0" xfId="4" applyNumberFormat="1" applyFont="1"/>
    <xf numFmtId="0" fontId="33" fillId="0" borderId="0" xfId="4" quotePrefix="1" applyFont="1"/>
    <xf numFmtId="168" fontId="7" fillId="0" borderId="0" xfId="2" applyNumberFormat="1" applyFont="1"/>
    <xf numFmtId="193" fontId="40" fillId="0" borderId="0" xfId="4" applyNumberFormat="1" applyFont="1" applyAlignment="1">
      <alignment horizontal="center" vertical="center"/>
    </xf>
    <xf numFmtId="173" fontId="33" fillId="0" borderId="0" xfId="4" applyNumberFormat="1" applyFont="1"/>
    <xf numFmtId="0" fontId="21" fillId="0" borderId="1" xfId="0" applyFont="1" applyBorder="1" applyAlignment="1">
      <alignment horizontal="center" vertical="center" wrapText="1"/>
    </xf>
    <xf numFmtId="0" fontId="53" fillId="26" borderId="17" xfId="14" applyFont="1" applyFill="1" applyBorder="1"/>
    <xf numFmtId="0" fontId="48" fillId="27" borderId="20" xfId="15" applyFont="1" applyFill="1" applyBorder="1"/>
    <xf numFmtId="0" fontId="55" fillId="27" borderId="20" xfId="15" applyFont="1" applyFill="1" applyBorder="1"/>
    <xf numFmtId="0" fontId="12" fillId="0" borderId="0" xfId="15" applyFont="1"/>
    <xf numFmtId="0" fontId="45" fillId="26" borderId="0" xfId="15" applyFont="1" applyFill="1"/>
    <xf numFmtId="0" fontId="49" fillId="26" borderId="0" xfId="15" applyFont="1" applyFill="1"/>
    <xf numFmtId="0" fontId="48" fillId="27" borderId="16" xfId="15" applyFont="1" applyFill="1" applyBorder="1"/>
    <xf numFmtId="0" fontId="48" fillId="27" borderId="18" xfId="15" applyFont="1" applyFill="1" applyBorder="1"/>
    <xf numFmtId="0" fontId="48" fillId="27" borderId="15" xfId="15" applyFont="1" applyFill="1" applyBorder="1"/>
    <xf numFmtId="0" fontId="45" fillId="26" borderId="19" xfId="15" applyFont="1" applyFill="1" applyBorder="1"/>
    <xf numFmtId="0" fontId="45" fillId="26" borderId="8" xfId="15" applyFont="1" applyFill="1" applyBorder="1" applyAlignment="1">
      <alignment horizontal="center"/>
    </xf>
    <xf numFmtId="0" fontId="45" fillId="26" borderId="12" xfId="15" applyFont="1" applyFill="1" applyBorder="1"/>
    <xf numFmtId="0" fontId="45" fillId="26" borderId="14" xfId="15" applyFont="1" applyFill="1" applyBorder="1"/>
    <xf numFmtId="0" fontId="45" fillId="26" borderId="17" xfId="15" applyFont="1" applyFill="1" applyBorder="1" applyAlignment="1">
      <alignment horizontal="center"/>
    </xf>
    <xf numFmtId="0" fontId="45" fillId="26" borderId="13" xfId="15" applyFont="1" applyFill="1" applyBorder="1"/>
    <xf numFmtId="0" fontId="45" fillId="26" borderId="0" xfId="15" applyFont="1" applyFill="1" applyAlignment="1">
      <alignment horizontal="center"/>
    </xf>
    <xf numFmtId="0" fontId="48" fillId="27" borderId="18" xfId="15" applyFont="1" applyFill="1" applyBorder="1" applyAlignment="1">
      <alignment horizontal="center"/>
    </xf>
    <xf numFmtId="0" fontId="45" fillId="26" borderId="8" xfId="15" applyFont="1" applyFill="1" applyBorder="1"/>
    <xf numFmtId="170" fontId="51" fillId="26" borderId="8" xfId="15" applyNumberFormat="1" applyFont="1" applyFill="1" applyBorder="1" applyAlignment="1">
      <alignment horizontal="center"/>
    </xf>
    <xf numFmtId="1" fontId="45" fillId="26" borderId="8" xfId="15" applyNumberFormat="1" applyFont="1" applyFill="1" applyBorder="1" applyAlignment="1">
      <alignment horizontal="center"/>
    </xf>
    <xf numFmtId="0" fontId="45" fillId="26" borderId="17" xfId="15" applyFont="1" applyFill="1" applyBorder="1"/>
    <xf numFmtId="0" fontId="50" fillId="26" borderId="17" xfId="15" applyFont="1" applyFill="1" applyBorder="1"/>
    <xf numFmtId="170" fontId="51" fillId="26" borderId="17" xfId="15" applyNumberFormat="1" applyFont="1" applyFill="1" applyBorder="1" applyAlignment="1">
      <alignment horizontal="center"/>
    </xf>
    <xf numFmtId="43" fontId="45" fillId="26" borderId="0" xfId="15" applyNumberFormat="1" applyFont="1" applyFill="1" applyAlignment="1">
      <alignment horizontal="center"/>
    </xf>
    <xf numFmtId="0" fontId="50" fillId="26" borderId="12" xfId="15" applyFont="1" applyFill="1" applyBorder="1"/>
    <xf numFmtId="194" fontId="45" fillId="26" borderId="13" xfId="15" applyNumberFormat="1" applyFont="1" applyFill="1" applyBorder="1"/>
    <xf numFmtId="179" fontId="45" fillId="26" borderId="0" xfId="15" applyNumberFormat="1" applyFont="1" applyFill="1"/>
    <xf numFmtId="195" fontId="45" fillId="26" borderId="13" xfId="15" applyNumberFormat="1" applyFont="1" applyFill="1" applyBorder="1"/>
    <xf numFmtId="179" fontId="45" fillId="26" borderId="13" xfId="15" applyNumberFormat="1" applyFont="1" applyFill="1" applyBorder="1"/>
    <xf numFmtId="0" fontId="21" fillId="0" borderId="0" xfId="0" applyFont="1"/>
    <xf numFmtId="182" fontId="34" fillId="21" borderId="1" xfId="4" applyNumberFormat="1" applyFont="1" applyFill="1" applyBorder="1" applyAlignment="1">
      <alignment horizontal="center" vertical="center"/>
    </xf>
    <xf numFmtId="174" fontId="33" fillId="19" borderId="1" xfId="4" applyNumberFormat="1" applyFont="1" applyFill="1" applyBorder="1" applyAlignment="1">
      <alignment horizontal="center" vertical="center"/>
    </xf>
    <xf numFmtId="174" fontId="33" fillId="23" borderId="1" xfId="4" applyNumberFormat="1" applyFont="1" applyFill="1" applyBorder="1" applyAlignment="1">
      <alignment horizontal="center" vertical="center"/>
    </xf>
    <xf numFmtId="168" fontId="33" fillId="0" borderId="0" xfId="2" applyNumberFormat="1" applyFont="1" applyAlignment="1">
      <alignment horizontal="center" vertical="center"/>
    </xf>
    <xf numFmtId="179" fontId="42" fillId="32" borderId="12" xfId="0" applyNumberFormat="1" applyFont="1" applyFill="1" applyBorder="1" applyAlignment="1">
      <alignment horizontal="center" vertical="center"/>
    </xf>
    <xf numFmtId="179" fontId="42" fillId="34" borderId="12" xfId="0" applyNumberFormat="1" applyFont="1" applyFill="1" applyBorder="1" applyAlignment="1">
      <alignment horizontal="center" vertical="center"/>
    </xf>
    <xf numFmtId="187" fontId="38" fillId="33" borderId="1" xfId="5" applyNumberFormat="1" applyFont="1" applyFill="1" applyBorder="1" applyAlignment="1">
      <alignment horizontal="center" vertical="center"/>
    </xf>
    <xf numFmtId="188" fontId="34" fillId="33" borderId="1" xfId="5" applyNumberFormat="1" applyFont="1" applyFill="1" applyBorder="1" applyAlignment="1">
      <alignment horizontal="center" vertical="center"/>
    </xf>
    <xf numFmtId="189" fontId="21" fillId="33" borderId="1" xfId="0" applyNumberFormat="1" applyFont="1" applyFill="1" applyBorder="1" applyAlignment="1">
      <alignment horizontal="center"/>
    </xf>
    <xf numFmtId="179" fontId="42" fillId="35" borderId="12" xfId="0" applyNumberFormat="1" applyFont="1" applyFill="1" applyBorder="1" applyAlignment="1">
      <alignment horizontal="center" vertical="center"/>
    </xf>
    <xf numFmtId="188" fontId="34" fillId="31" borderId="1" xfId="5" applyNumberFormat="1" applyFont="1" applyFill="1" applyBorder="1" applyAlignment="1">
      <alignment horizontal="center" vertical="center"/>
    </xf>
    <xf numFmtId="189" fontId="21" fillId="31" borderId="1" xfId="0" applyNumberFormat="1" applyFont="1" applyFill="1" applyBorder="1" applyAlignment="1">
      <alignment horizontal="center"/>
    </xf>
    <xf numFmtId="187" fontId="38" fillId="31" borderId="1" xfId="5" applyNumberFormat="1" applyFont="1" applyFill="1" applyBorder="1" applyAlignment="1">
      <alignment horizontal="center" vertical="center"/>
    </xf>
    <xf numFmtId="179" fontId="33" fillId="0" borderId="0" xfId="4" applyNumberFormat="1" applyFont="1"/>
    <xf numFmtId="43" fontId="9" fillId="0" borderId="0" xfId="4" applyNumberFormat="1" applyFont="1"/>
    <xf numFmtId="0" fontId="4" fillId="0" borderId="0" xfId="0" applyFont="1" applyAlignment="1">
      <alignment horizontal="center" vertical="center" wrapText="1"/>
    </xf>
    <xf numFmtId="2" fontId="21" fillId="0" borderId="0" xfId="0" applyNumberFormat="1" applyFont="1"/>
    <xf numFmtId="0" fontId="21" fillId="0" borderId="0" xfId="0" applyFont="1" applyAlignment="1">
      <alignment wrapText="1"/>
    </xf>
    <xf numFmtId="168" fontId="33" fillId="0" borderId="0" xfId="2" applyNumberFormat="1" applyFont="1"/>
    <xf numFmtId="168" fontId="33" fillId="0" borderId="1" xfId="2" applyNumberFormat="1" applyFont="1" applyBorder="1" applyAlignment="1">
      <alignment horizontal="center" vertical="center"/>
    </xf>
    <xf numFmtId="179" fontId="7" fillId="0" borderId="1" xfId="4" applyNumberFormat="1" applyBorder="1" applyAlignment="1">
      <alignment horizontal="center" vertical="center"/>
    </xf>
    <xf numFmtId="0" fontId="7" fillId="0" borderId="1" xfId="4" applyBorder="1"/>
    <xf numFmtId="168" fontId="33" fillId="0" borderId="1" xfId="2" applyNumberFormat="1" applyFont="1" applyBorder="1" applyAlignment="1">
      <alignment horizontal="center"/>
    </xf>
    <xf numFmtId="179" fontId="7" fillId="0" borderId="1" xfId="4" applyNumberFormat="1" applyBorder="1"/>
    <xf numFmtId="168" fontId="9" fillId="0" borderId="1" xfId="2" applyNumberFormat="1" applyFont="1" applyBorder="1" applyAlignment="1">
      <alignment horizontal="center" vertical="center"/>
    </xf>
    <xf numFmtId="168" fontId="9" fillId="0" borderId="1" xfId="2" applyNumberFormat="1" applyFont="1" applyBorder="1" applyAlignment="1">
      <alignment horizontal="center"/>
    </xf>
    <xf numFmtId="168" fontId="63" fillId="0" borderId="1" xfId="2" applyNumberFormat="1" applyFont="1" applyBorder="1" applyAlignment="1">
      <alignment horizontal="center"/>
    </xf>
    <xf numFmtId="0" fontId="13" fillId="0" borderId="0" xfId="4" applyFont="1"/>
    <xf numFmtId="0" fontId="64" fillId="0" borderId="1" xfId="4" applyFont="1" applyBorder="1" applyAlignment="1">
      <alignment horizontal="center"/>
    </xf>
    <xf numFmtId="0" fontId="13" fillId="0" borderId="1" xfId="4" applyFont="1" applyBorder="1" applyAlignment="1">
      <alignment horizontal="center"/>
    </xf>
    <xf numFmtId="0" fontId="13" fillId="0" borderId="1" xfId="4" applyFont="1" applyBorder="1"/>
    <xf numFmtId="0" fontId="64" fillId="0" borderId="1" xfId="4" applyFont="1" applyBorder="1" applyAlignment="1">
      <alignment horizontal="center" vertical="center"/>
    </xf>
    <xf numFmtId="0" fontId="13" fillId="0" borderId="1" xfId="4" applyFont="1" applyBorder="1" applyAlignment="1">
      <alignment horizontal="center" vertical="center"/>
    </xf>
    <xf numFmtId="0" fontId="64" fillId="0" borderId="1" xfId="4" applyFont="1" applyBorder="1" applyAlignment="1">
      <alignment horizontal="center" vertical="center" wrapText="1"/>
    </xf>
    <xf numFmtId="0" fontId="9" fillId="0" borderId="1" xfId="4" applyFont="1" applyBorder="1"/>
    <xf numFmtId="168" fontId="33" fillId="0" borderId="1" xfId="2" applyNumberFormat="1" applyFont="1" applyFill="1" applyBorder="1" applyAlignment="1">
      <alignment horizontal="center" vertical="center"/>
    </xf>
    <xf numFmtId="168" fontId="33" fillId="0" borderId="1" xfId="2" applyNumberFormat="1" applyFont="1" applyFill="1" applyBorder="1" applyAlignment="1">
      <alignment horizontal="center"/>
    </xf>
    <xf numFmtId="0" fontId="65" fillId="0" borderId="4" xfId="4" applyFont="1" applyBorder="1" applyAlignment="1">
      <alignment horizontal="center" vertical="center" wrapText="1"/>
    </xf>
    <xf numFmtId="0" fontId="66" fillId="0" borderId="4" xfId="4" applyFont="1" applyBorder="1" applyAlignment="1">
      <alignment horizontal="center" vertical="center" wrapText="1"/>
    </xf>
    <xf numFmtId="0" fontId="33" fillId="19" borderId="1" xfId="4" applyFont="1" applyFill="1" applyBorder="1"/>
    <xf numFmtId="197" fontId="40" fillId="0" borderId="0" xfId="4" applyNumberFormat="1" applyFont="1" applyAlignment="1">
      <alignment horizontal="center" vertical="center"/>
    </xf>
    <xf numFmtId="198" fontId="40" fillId="0" borderId="0" xfId="4" applyNumberFormat="1" applyFont="1" applyAlignment="1">
      <alignment horizontal="center" vertical="center"/>
    </xf>
    <xf numFmtId="165" fontId="33" fillId="0" borderId="0" xfId="4" applyNumberFormat="1" applyFont="1"/>
    <xf numFmtId="0" fontId="33" fillId="4" borderId="0" xfId="4" applyFont="1" applyFill="1" applyAlignment="1">
      <alignment horizontal="center"/>
    </xf>
    <xf numFmtId="165" fontId="67" fillId="0" borderId="0" xfId="0" applyNumberFormat="1" applyFont="1" applyAlignment="1">
      <alignment horizontal="center" vertical="center"/>
    </xf>
    <xf numFmtId="0" fontId="67" fillId="0" borderId="0" xfId="0" applyFont="1" applyAlignment="1">
      <alignment vertical="center"/>
    </xf>
    <xf numFmtId="187" fontId="0" fillId="4" borderId="1" xfId="0" applyNumberFormat="1" applyFill="1" applyBorder="1" applyAlignment="1">
      <alignment horizontal="center" vertical="center"/>
    </xf>
    <xf numFmtId="174" fontId="0" fillId="4" borderId="0" xfId="0" applyNumberFormat="1" applyFill="1" applyAlignment="1">
      <alignment horizontal="center"/>
    </xf>
    <xf numFmtId="188" fontId="0" fillId="4" borderId="0" xfId="0" applyNumberFormat="1" applyFill="1" applyAlignment="1">
      <alignment horizontal="center"/>
    </xf>
    <xf numFmtId="164" fontId="23" fillId="0" borderId="0" xfId="0" applyNumberFormat="1" applyFont="1"/>
    <xf numFmtId="0" fontId="4" fillId="36" borderId="0" xfId="0" applyFont="1" applyFill="1" applyAlignment="1">
      <alignment horizontal="center" vertical="center" wrapText="1"/>
    </xf>
    <xf numFmtId="0" fontId="4" fillId="37" borderId="0" xfId="0" applyFont="1" applyFill="1" applyAlignment="1">
      <alignment horizontal="center" vertical="center" wrapText="1"/>
    </xf>
    <xf numFmtId="0" fontId="4" fillId="21" borderId="0" xfId="0" applyFont="1" applyFill="1" applyAlignment="1">
      <alignment horizontal="center" vertical="center" wrapText="1"/>
    </xf>
    <xf numFmtId="0" fontId="4" fillId="11" borderId="0" xfId="0" applyFont="1" applyFill="1" applyAlignment="1">
      <alignment horizontal="center" vertical="center" wrapText="1"/>
    </xf>
    <xf numFmtId="0" fontId="4" fillId="13" borderId="0" xfId="0" applyFont="1" applyFill="1" applyAlignment="1">
      <alignment horizontal="center" vertical="center" wrapText="1"/>
    </xf>
    <xf numFmtId="0" fontId="4" fillId="8" borderId="0" xfId="0" applyFont="1" applyFill="1" applyAlignment="1">
      <alignment horizontal="center" vertical="center" wrapText="1"/>
    </xf>
    <xf numFmtId="0" fontId="0" fillId="36" borderId="0" xfId="0" applyFill="1"/>
    <xf numFmtId="0" fontId="0" fillId="37" borderId="0" xfId="0" applyFill="1"/>
    <xf numFmtId="1" fontId="0" fillId="37" borderId="0" xfId="0" applyNumberFormat="1" applyFill="1"/>
    <xf numFmtId="1" fontId="0" fillId="21" borderId="0" xfId="0" applyNumberFormat="1" applyFill="1"/>
    <xf numFmtId="1" fontId="0" fillId="11" borderId="0" xfId="0" applyNumberFormat="1" applyFill="1"/>
    <xf numFmtId="0" fontId="0" fillId="11" borderId="0" xfId="0" applyFill="1"/>
    <xf numFmtId="0" fontId="0" fillId="13" borderId="0" xfId="0" applyFill="1"/>
    <xf numFmtId="0" fontId="0" fillId="8" borderId="0" xfId="0" applyFill="1"/>
    <xf numFmtId="0" fontId="4" fillId="4" borderId="0" xfId="0" applyFont="1" applyFill="1" applyAlignment="1">
      <alignment horizontal="center" vertical="center" wrapText="1"/>
    </xf>
    <xf numFmtId="0" fontId="4" fillId="4" borderId="0" xfId="0" applyFont="1" applyFill="1" applyAlignment="1">
      <alignment wrapText="1"/>
    </xf>
    <xf numFmtId="2" fontId="0" fillId="4" borderId="0" xfId="0" applyNumberFormat="1" applyFill="1"/>
    <xf numFmtId="0" fontId="1" fillId="0" borderId="0" xfId="0" applyFont="1" applyAlignment="1">
      <alignment wrapText="1"/>
    </xf>
    <xf numFmtId="0" fontId="69" fillId="0" borderId="0" xfId="0" applyFont="1"/>
    <xf numFmtId="0" fontId="21" fillId="0" borderId="36" xfId="0" applyFont="1" applyBorder="1"/>
    <xf numFmtId="2" fontId="21" fillId="0" borderId="37" xfId="0" applyNumberFormat="1" applyFont="1" applyBorder="1"/>
    <xf numFmtId="2" fontId="21" fillId="0" borderId="38" xfId="0" applyNumberFormat="1" applyFont="1" applyBorder="1"/>
    <xf numFmtId="0" fontId="0" fillId="0" borderId="39" xfId="0" applyBorder="1"/>
    <xf numFmtId="2" fontId="0" fillId="0" borderId="40" xfId="0" applyNumberFormat="1" applyBorder="1"/>
    <xf numFmtId="0" fontId="0" fillId="4" borderId="39" xfId="0" applyFill="1" applyBorder="1"/>
    <xf numFmtId="2" fontId="0" fillId="4" borderId="40" xfId="0" applyNumberFormat="1" applyFill="1" applyBorder="1"/>
    <xf numFmtId="0" fontId="21" fillId="0" borderId="36" xfId="0" applyFont="1" applyBorder="1" applyAlignment="1">
      <alignment horizontal="center" vertical="center" wrapText="1"/>
    </xf>
    <xf numFmtId="0" fontId="0" fillId="0" borderId="40" xfId="0" applyBorder="1"/>
    <xf numFmtId="0" fontId="0" fillId="0" borderId="41" xfId="0" applyBorder="1"/>
    <xf numFmtId="0" fontId="0" fillId="0" borderId="35" xfId="0" applyBorder="1"/>
    <xf numFmtId="2" fontId="0" fillId="0" borderId="35" xfId="0" applyNumberFormat="1" applyBorder="1"/>
    <xf numFmtId="0" fontId="0" fillId="0" borderId="42" xfId="0" applyBorder="1"/>
    <xf numFmtId="0" fontId="0" fillId="0" borderId="36" xfId="0" applyBorder="1"/>
    <xf numFmtId="2" fontId="21" fillId="4" borderId="37" xfId="0" applyNumberFormat="1" applyFont="1" applyFill="1" applyBorder="1"/>
    <xf numFmtId="2" fontId="21" fillId="4" borderId="38" xfId="0" applyNumberFormat="1" applyFont="1" applyFill="1" applyBorder="1"/>
    <xf numFmtId="0" fontId="21" fillId="0" borderId="40" xfId="0" applyFont="1" applyBorder="1"/>
    <xf numFmtId="0" fontId="21" fillId="0" borderId="41" xfId="0" applyFont="1" applyBorder="1"/>
    <xf numFmtId="2" fontId="0" fillId="0" borderId="42" xfId="0" applyNumberFormat="1" applyBorder="1"/>
    <xf numFmtId="2" fontId="21" fillId="36" borderId="0" xfId="0" applyNumberFormat="1" applyFont="1" applyFill="1"/>
    <xf numFmtId="2" fontId="0" fillId="36" borderId="0" xfId="0" applyNumberFormat="1" applyFill="1"/>
    <xf numFmtId="1" fontId="0" fillId="36" borderId="0" xfId="0" applyNumberFormat="1" applyFill="1"/>
    <xf numFmtId="164" fontId="1" fillId="0" borderId="0" xfId="0" quotePrefix="1" applyNumberFormat="1" applyFont="1"/>
    <xf numFmtId="1" fontId="0" fillId="13" borderId="0" xfId="0" applyNumberFormat="1" applyFill="1"/>
    <xf numFmtId="164" fontId="0" fillId="7" borderId="0" xfId="3" applyNumberFormat="1" applyFont="1" applyFill="1"/>
    <xf numFmtId="0" fontId="0" fillId="7" borderId="0" xfId="0" applyFill="1"/>
    <xf numFmtId="168" fontId="13" fillId="0" borderId="0" xfId="4" applyNumberFormat="1" applyFont="1" applyAlignment="1">
      <alignment horizontal="center" vertical="center"/>
    </xf>
    <xf numFmtId="2" fontId="0" fillId="2" borderId="11" xfId="0" applyNumberFormat="1" applyFill="1" applyBorder="1"/>
    <xf numFmtId="2" fontId="0" fillId="2" borderId="2" xfId="0" applyNumberFormat="1" applyFill="1" applyBorder="1"/>
    <xf numFmtId="164" fontId="0" fillId="0" borderId="2" xfId="0" applyNumberFormat="1" applyBorder="1"/>
    <xf numFmtId="0" fontId="0" fillId="2" borderId="2" xfId="0" applyFill="1" applyBorder="1"/>
    <xf numFmtId="164" fontId="23" fillId="0" borderId="2" xfId="0" applyNumberFormat="1" applyFont="1" applyBorder="1"/>
    <xf numFmtId="0" fontId="0" fillId="2" borderId="9" xfId="0" applyFill="1" applyBorder="1"/>
    <xf numFmtId="0" fontId="33" fillId="0" borderId="37" xfId="4" applyFont="1" applyBorder="1"/>
    <xf numFmtId="0" fontId="7" fillId="0" borderId="37" xfId="4" applyBorder="1"/>
    <xf numFmtId="0" fontId="33" fillId="0" borderId="39" xfId="4" applyFont="1" applyBorder="1"/>
    <xf numFmtId="10" fontId="0" fillId="4" borderId="0" xfId="6" applyNumberFormat="1" applyFont="1" applyFill="1" applyBorder="1" applyAlignment="1">
      <alignment horizontal="center"/>
    </xf>
    <xf numFmtId="173" fontId="7" fillId="6" borderId="43" xfId="5" applyNumberFormat="1" applyFont="1" applyFill="1" applyBorder="1" applyAlignment="1">
      <alignment horizontal="center" vertical="center"/>
    </xf>
    <xf numFmtId="164" fontId="0" fillId="4" borderId="0" xfId="6" applyNumberFormat="1" applyFont="1" applyFill="1" applyBorder="1" applyAlignment="1">
      <alignment horizontal="center"/>
    </xf>
    <xf numFmtId="0" fontId="71" fillId="0" borderId="0" xfId="4" applyFont="1" applyAlignment="1">
      <alignment horizontal="center" vertical="center"/>
    </xf>
    <xf numFmtId="167" fontId="33" fillId="0" borderId="43" xfId="4" applyNumberFormat="1" applyFont="1" applyBorder="1" applyAlignment="1">
      <alignment horizontal="center" vertical="center"/>
    </xf>
    <xf numFmtId="0" fontId="69" fillId="0" borderId="39" xfId="4" applyFont="1" applyBorder="1"/>
    <xf numFmtId="164" fontId="0" fillId="0" borderId="0" xfId="6" applyNumberFormat="1" applyFont="1" applyBorder="1" applyAlignment="1">
      <alignment horizontal="center" vertical="center"/>
    </xf>
    <xf numFmtId="9" fontId="34" fillId="4" borderId="0" xfId="6" applyFont="1" applyFill="1" applyBorder="1" applyAlignment="1">
      <alignment horizontal="center" vertical="center"/>
    </xf>
    <xf numFmtId="191" fontId="33" fillId="0" borderId="43" xfId="4" applyNumberFormat="1" applyFont="1" applyBorder="1" applyAlignment="1">
      <alignment horizontal="center" vertical="center"/>
    </xf>
    <xf numFmtId="164" fontId="34" fillId="5" borderId="0" xfId="6" applyNumberFormat="1" applyFont="1" applyFill="1" applyBorder="1" applyAlignment="1">
      <alignment horizontal="center" vertical="center"/>
    </xf>
    <xf numFmtId="9" fontId="33" fillId="4" borderId="0" xfId="6" applyFont="1" applyFill="1" applyBorder="1" applyAlignment="1">
      <alignment horizontal="center" vertical="center"/>
    </xf>
    <xf numFmtId="9" fontId="33" fillId="0" borderId="0" xfId="3" applyFont="1" applyBorder="1"/>
    <xf numFmtId="9" fontId="33" fillId="0" borderId="0" xfId="3" applyFont="1" applyBorder="1" applyAlignment="1">
      <alignment horizontal="center"/>
    </xf>
    <xf numFmtId="9" fontId="43" fillId="0" borderId="0" xfId="6" applyFont="1" applyBorder="1"/>
    <xf numFmtId="164" fontId="33" fillId="4" borderId="0" xfId="6" applyNumberFormat="1" applyFont="1" applyFill="1" applyBorder="1" applyAlignment="1">
      <alignment horizontal="center" vertical="center"/>
    </xf>
    <xf numFmtId="0" fontId="33" fillId="0" borderId="46" xfId="4" applyFont="1" applyBorder="1"/>
    <xf numFmtId="0" fontId="33" fillId="0" borderId="47" xfId="4" applyFont="1" applyBorder="1"/>
    <xf numFmtId="0" fontId="33" fillId="0" borderId="21" xfId="4" applyFont="1" applyBorder="1"/>
    <xf numFmtId="173" fontId="33" fillId="0" borderId="0" xfId="4" applyNumberFormat="1" applyFont="1" applyAlignment="1">
      <alignment horizontal="center" vertical="center"/>
    </xf>
    <xf numFmtId="0" fontId="7" fillId="0" borderId="0" xfId="4" applyAlignment="1">
      <alignment horizontal="right" vertical="center"/>
    </xf>
    <xf numFmtId="196" fontId="33" fillId="4" borderId="0" xfId="3" applyNumberFormat="1" applyFont="1" applyFill="1" applyBorder="1" applyAlignment="1">
      <alignment horizontal="center"/>
    </xf>
    <xf numFmtId="180" fontId="33" fillId="0" borderId="0" xfId="4" applyNumberFormat="1" applyFont="1"/>
    <xf numFmtId="0" fontId="21" fillId="0" borderId="1" xfId="0" applyFont="1" applyBorder="1" applyAlignment="1">
      <alignment horizontal="center" vertical="center"/>
    </xf>
    <xf numFmtId="199" fontId="33" fillId="0" borderId="0" xfId="4" applyNumberFormat="1" applyFont="1"/>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0" fillId="0" borderId="11" xfId="0" applyBorder="1"/>
    <xf numFmtId="3" fontId="0" fillId="0" borderId="1" xfId="0" applyNumberFormat="1" applyBorder="1" applyAlignment="1">
      <alignment horizontal="center" vertical="center"/>
    </xf>
    <xf numFmtId="4" fontId="0" fillId="0" borderId="1" xfId="0" applyNumberFormat="1" applyBorder="1" applyAlignment="1">
      <alignment horizontal="center" vertical="center" wrapText="1"/>
    </xf>
    <xf numFmtId="4" fontId="0" fillId="0" borderId="1" xfId="0" applyNumberFormat="1" applyBorder="1" applyAlignment="1">
      <alignment horizontal="center" vertical="center"/>
    </xf>
    <xf numFmtId="0" fontId="0" fillId="38" borderId="11" xfId="0" applyFill="1" applyBorder="1"/>
    <xf numFmtId="0" fontId="0" fillId="38" borderId="11" xfId="0" applyFill="1" applyBorder="1" applyAlignment="1">
      <alignment wrapText="1"/>
    </xf>
    <xf numFmtId="0" fontId="0" fillId="38" borderId="0" xfId="0" applyFill="1" applyAlignment="1">
      <alignment wrapText="1"/>
    </xf>
    <xf numFmtId="4" fontId="21" fillId="0" borderId="1" xfId="0" applyNumberFormat="1" applyFont="1" applyBorder="1" applyAlignment="1">
      <alignment horizontal="center" vertical="center"/>
    </xf>
    <xf numFmtId="3" fontId="21" fillId="0" borderId="1" xfId="0" applyNumberFormat="1" applyFont="1" applyBorder="1" applyAlignment="1">
      <alignment horizontal="center" vertical="center"/>
    </xf>
    <xf numFmtId="4" fontId="21" fillId="0" borderId="0" xfId="0" applyNumberFormat="1" applyFont="1" applyAlignment="1">
      <alignment horizontal="center" vertical="center"/>
    </xf>
    <xf numFmtId="3" fontId="21" fillId="0" borderId="0" xfId="0" applyNumberFormat="1" applyFont="1" applyAlignment="1">
      <alignment horizontal="center" vertical="center"/>
    </xf>
    <xf numFmtId="4" fontId="0" fillId="0" borderId="0" xfId="0" applyNumberFormat="1" applyAlignment="1">
      <alignment horizontal="center" vertical="center" wrapText="1"/>
    </xf>
    <xf numFmtId="4" fontId="0" fillId="0" borderId="0" xfId="0" applyNumberFormat="1" applyAlignment="1">
      <alignment horizontal="center" vertical="center"/>
    </xf>
    <xf numFmtId="0" fontId="8" fillId="0" borderId="37" xfId="4" applyFont="1" applyBorder="1" applyAlignment="1">
      <alignment horizontal="left" vertical="top"/>
    </xf>
    <xf numFmtId="200" fontId="33" fillId="0" borderId="1" xfId="5" applyNumberFormat="1" applyFont="1" applyBorder="1" applyAlignment="1">
      <alignment horizontal="center" vertical="center"/>
    </xf>
    <xf numFmtId="164" fontId="9" fillId="5" borderId="0" xfId="6" applyNumberFormat="1" applyFont="1" applyFill="1" applyBorder="1" applyAlignment="1">
      <alignment horizontal="center" vertical="center"/>
    </xf>
    <xf numFmtId="164" fontId="7" fillId="5" borderId="0" xfId="6" applyNumberFormat="1" applyFont="1" applyFill="1" applyBorder="1" applyAlignment="1">
      <alignment horizontal="center" vertical="center"/>
    </xf>
    <xf numFmtId="199" fontId="33" fillId="33" borderId="1" xfId="5" applyNumberFormat="1" applyFont="1" applyFill="1" applyBorder="1" applyAlignment="1">
      <alignment horizontal="center" vertical="center"/>
    </xf>
    <xf numFmtId="199" fontId="33" fillId="31" borderId="1" xfId="5" applyNumberFormat="1" applyFont="1" applyFill="1" applyBorder="1" applyAlignment="1">
      <alignment horizontal="center" vertical="center"/>
    </xf>
    <xf numFmtId="201" fontId="33" fillId="0" borderId="1" xfId="5" applyNumberFormat="1" applyFont="1" applyBorder="1" applyAlignment="1">
      <alignment horizontal="center" vertical="center"/>
    </xf>
    <xf numFmtId="0" fontId="36" fillId="0" borderId="37" xfId="4" applyFont="1" applyBorder="1"/>
    <xf numFmtId="199" fontId="33" fillId="0" borderId="1" xfId="5" applyNumberFormat="1" applyFont="1" applyBorder="1" applyAlignment="1">
      <alignment horizontal="center" vertical="center"/>
    </xf>
    <xf numFmtId="202" fontId="34" fillId="0" borderId="1" xfId="5" applyNumberFormat="1" applyFont="1" applyBorder="1" applyAlignment="1">
      <alignment horizontal="center" vertical="center"/>
    </xf>
    <xf numFmtId="174" fontId="33" fillId="39" borderId="1" xfId="4" applyNumberFormat="1" applyFont="1" applyFill="1" applyBorder="1" applyAlignment="1">
      <alignment horizontal="center" vertical="center"/>
    </xf>
    <xf numFmtId="173" fontId="33" fillId="39" borderId="1" xfId="5" applyNumberFormat="1" applyFont="1" applyFill="1" applyBorder="1" applyAlignment="1">
      <alignment horizontal="center" vertical="center"/>
    </xf>
    <xf numFmtId="171" fontId="33" fillId="0" borderId="46" xfId="4" applyNumberFormat="1" applyFont="1" applyBorder="1"/>
    <xf numFmtId="172" fontId="33" fillId="0" borderId="46" xfId="4" applyNumberFormat="1" applyFont="1" applyBorder="1"/>
    <xf numFmtId="0" fontId="33" fillId="0" borderId="48" xfId="4" applyFont="1" applyBorder="1"/>
    <xf numFmtId="0" fontId="33" fillId="0" borderId="49" xfId="4" applyFont="1" applyBorder="1"/>
    <xf numFmtId="0" fontId="1" fillId="0" borderId="1" xfId="0" applyFont="1" applyBorder="1" applyAlignment="1">
      <alignment horizontal="center" vertical="center" wrapText="1"/>
    </xf>
    <xf numFmtId="0" fontId="8" fillId="0" borderId="0" xfId="4" applyFont="1" applyAlignment="1">
      <alignment horizontal="center" vertical="center"/>
    </xf>
    <xf numFmtId="0" fontId="33" fillId="0" borderId="10" xfId="4" applyFont="1" applyBorder="1"/>
    <xf numFmtId="0" fontId="70" fillId="0" borderId="46" xfId="4" applyFont="1" applyBorder="1"/>
    <xf numFmtId="177" fontId="34" fillId="0" borderId="1" xfId="5" applyNumberFormat="1" applyFont="1" applyBorder="1" applyAlignment="1">
      <alignment horizontal="center" vertical="center"/>
    </xf>
    <xf numFmtId="177" fontId="33" fillId="0" borderId="0" xfId="4" applyNumberFormat="1" applyFont="1"/>
    <xf numFmtId="177" fontId="33" fillId="0" borderId="1" xfId="5" applyNumberFormat="1" applyFont="1" applyBorder="1" applyAlignment="1">
      <alignment horizontal="center" vertical="center"/>
    </xf>
    <xf numFmtId="164" fontId="33" fillId="0" borderId="0" xfId="6" applyNumberFormat="1" applyFont="1" applyFill="1" applyBorder="1" applyAlignment="1">
      <alignment horizontal="center" vertical="center"/>
    </xf>
    <xf numFmtId="9" fontId="0" fillId="0" borderId="1" xfId="3" applyFont="1" applyFill="1" applyBorder="1" applyAlignment="1">
      <alignment horizontal="center" vertical="center"/>
    </xf>
    <xf numFmtId="3" fontId="1" fillId="0" borderId="1" xfId="0" applyNumberFormat="1" applyFont="1" applyBorder="1" applyAlignment="1">
      <alignment horizontal="center" vertical="center"/>
    </xf>
    <xf numFmtId="9" fontId="0" fillId="0" borderId="1" xfId="3" applyFont="1" applyBorder="1" applyAlignment="1">
      <alignment horizontal="center" vertical="center"/>
    </xf>
    <xf numFmtId="1" fontId="75" fillId="0" borderId="0" xfId="4" applyNumberFormat="1" applyFont="1" applyAlignment="1">
      <alignment horizontal="center" vertical="center"/>
    </xf>
    <xf numFmtId="203" fontId="44" fillId="0" borderId="0" xfId="4" applyNumberFormat="1" applyFont="1" applyAlignment="1">
      <alignment horizontal="center" vertical="center"/>
    </xf>
    <xf numFmtId="0" fontId="1" fillId="0" borderId="1" xfId="0" applyFont="1" applyBorder="1" applyAlignment="1">
      <alignment wrapText="1"/>
    </xf>
    <xf numFmtId="2" fontId="21" fillId="0" borderId="1" xfId="0" applyNumberFormat="1" applyFont="1" applyBorder="1"/>
    <xf numFmtId="2" fontId="0" fillId="0" borderId="1" xfId="0" applyNumberFormat="1" applyBorder="1"/>
    <xf numFmtId="0" fontId="0" fillId="0" borderId="1" xfId="0" applyBorder="1" applyAlignment="1">
      <alignment wrapText="1"/>
    </xf>
    <xf numFmtId="0" fontId="1" fillId="0" borderId="1" xfId="0" applyFont="1" applyBorder="1"/>
    <xf numFmtId="0" fontId="7" fillId="0" borderId="0" xfId="16"/>
    <xf numFmtId="0" fontId="56" fillId="26" borderId="0" xfId="16" applyFont="1" applyFill="1" applyAlignment="1">
      <alignment horizontal="center" vertical="center"/>
    </xf>
    <xf numFmtId="0" fontId="7" fillId="0" borderId="0" xfId="16" applyAlignment="1">
      <alignment horizontal="center" vertical="center"/>
    </xf>
    <xf numFmtId="0" fontId="57" fillId="26" borderId="0" xfId="16" applyFont="1" applyFill="1"/>
    <xf numFmtId="0" fontId="58" fillId="27" borderId="16" xfId="16" applyFont="1" applyFill="1" applyBorder="1" applyAlignment="1">
      <alignment horizontal="center" vertical="center"/>
    </xf>
    <xf numFmtId="0" fontId="58" fillId="27" borderId="18" xfId="16" applyFont="1" applyFill="1" applyBorder="1" applyAlignment="1">
      <alignment horizontal="center" vertical="center"/>
    </xf>
    <xf numFmtId="0" fontId="58" fillId="27" borderId="15" xfId="16" applyFont="1" applyFill="1" applyBorder="1"/>
    <xf numFmtId="179" fontId="7" fillId="0" borderId="0" xfId="16" applyNumberFormat="1"/>
    <xf numFmtId="43" fontId="7" fillId="0" borderId="0" xfId="16" applyNumberFormat="1"/>
    <xf numFmtId="0" fontId="59" fillId="26" borderId="14" xfId="16" applyFont="1" applyFill="1" applyBorder="1" applyAlignment="1">
      <alignment horizontal="center" vertical="center"/>
    </xf>
    <xf numFmtId="0" fontId="59" fillId="26" borderId="17" xfId="16" applyFont="1" applyFill="1" applyBorder="1" applyAlignment="1">
      <alignment horizontal="center" vertical="center"/>
    </xf>
    <xf numFmtId="0" fontId="57" fillId="26" borderId="13" xfId="16" applyFont="1" applyFill="1" applyBorder="1"/>
    <xf numFmtId="0" fontId="61" fillId="0" borderId="0" xfId="16" applyFont="1" applyAlignment="1">
      <alignment horizontal="center" vertical="center"/>
    </xf>
    <xf numFmtId="0" fontId="59" fillId="26" borderId="0" xfId="16" applyFont="1" applyFill="1" applyAlignment="1">
      <alignment horizontal="center" vertical="center"/>
    </xf>
    <xf numFmtId="179" fontId="24" fillId="30" borderId="12" xfId="0" applyNumberFormat="1" applyFont="1" applyFill="1" applyBorder="1" applyAlignment="1">
      <alignment horizontal="center" vertical="center"/>
    </xf>
    <xf numFmtId="9" fontId="7" fillId="4" borderId="0" xfId="4" applyNumberFormat="1" applyFill="1" applyAlignment="1">
      <alignment horizontal="center" vertical="center"/>
    </xf>
    <xf numFmtId="2" fontId="42" fillId="32" borderId="12" xfId="0" applyNumberFormat="1" applyFont="1" applyFill="1" applyBorder="1" applyAlignment="1">
      <alignment horizontal="center" vertical="center"/>
    </xf>
    <xf numFmtId="2" fontId="42" fillId="34" borderId="12" xfId="0" applyNumberFormat="1" applyFont="1" applyFill="1" applyBorder="1" applyAlignment="1">
      <alignment horizontal="center" vertical="center"/>
    </xf>
    <xf numFmtId="179" fontId="24" fillId="32" borderId="12" xfId="0" applyNumberFormat="1" applyFont="1" applyFill="1" applyBorder="1" applyAlignment="1">
      <alignment horizontal="center" vertical="center"/>
    </xf>
    <xf numFmtId="179" fontId="24" fillId="34" borderId="12" xfId="0" applyNumberFormat="1" applyFont="1" applyFill="1" applyBorder="1" applyAlignment="1">
      <alignment horizontal="center" vertical="center"/>
    </xf>
    <xf numFmtId="187" fontId="34" fillId="0" borderId="1" xfId="5" applyNumberFormat="1" applyFont="1" applyBorder="1" applyAlignment="1">
      <alignment horizontal="center" vertical="center"/>
    </xf>
    <xf numFmtId="0" fontId="7" fillId="0" borderId="39" xfId="4" applyBorder="1"/>
    <xf numFmtId="0" fontId="1" fillId="0" borderId="22" xfId="0" applyFont="1" applyBorder="1"/>
    <xf numFmtId="3" fontId="21" fillId="36" borderId="0" xfId="0" applyNumberFormat="1" applyFont="1" applyFill="1" applyAlignment="1">
      <alignment horizontal="center" vertical="center"/>
    </xf>
    <xf numFmtId="0" fontId="0" fillId="0" borderId="22" xfId="0" applyBorder="1" applyAlignment="1">
      <alignment horizontal="center"/>
    </xf>
    <xf numFmtId="204" fontId="34" fillId="21" borderId="1" xfId="5" applyNumberFormat="1" applyFont="1" applyFill="1" applyBorder="1" applyAlignment="1">
      <alignment horizontal="center" vertical="center"/>
    </xf>
    <xf numFmtId="205" fontId="11" fillId="0" borderId="0" xfId="4" applyNumberFormat="1" applyFont="1" applyAlignment="1">
      <alignment vertical="center"/>
    </xf>
    <xf numFmtId="0" fontId="9" fillId="0" borderId="39" xfId="4" applyFont="1" applyBorder="1" applyAlignment="1">
      <alignment vertical="center"/>
    </xf>
    <xf numFmtId="0" fontId="69" fillId="0" borderId="39" xfId="4" applyFont="1" applyBorder="1" applyAlignment="1">
      <alignment vertical="center"/>
    </xf>
    <xf numFmtId="181" fontId="33" fillId="0" borderId="0" xfId="4" applyNumberFormat="1" applyFont="1"/>
    <xf numFmtId="164" fontId="0" fillId="0" borderId="1" xfId="6" applyNumberFormat="1" applyFont="1" applyBorder="1" applyAlignment="1">
      <alignment horizontal="center" vertical="center"/>
    </xf>
    <xf numFmtId="10" fontId="77" fillId="0" borderId="0" xfId="3" applyNumberFormat="1" applyFont="1" applyAlignment="1">
      <alignment horizontal="center"/>
    </xf>
    <xf numFmtId="206" fontId="0" fillId="0" borderId="0" xfId="7" applyNumberFormat="1" applyFont="1" applyBorder="1"/>
    <xf numFmtId="0" fontId="76" fillId="0" borderId="0" xfId="17" applyFont="1" applyAlignment="1">
      <alignment horizontal="left" vertical="center"/>
    </xf>
    <xf numFmtId="0" fontId="6" fillId="0" borderId="0" xfId="17"/>
    <xf numFmtId="0" fontId="6" fillId="0" borderId="0" xfId="17" applyAlignment="1">
      <alignment horizontal="center" vertical="center"/>
    </xf>
    <xf numFmtId="0" fontId="27" fillId="0" borderId="1" xfId="19" applyFont="1" applyBorder="1" applyAlignment="1">
      <alignment horizontal="center" vertical="top" wrapText="1"/>
    </xf>
    <xf numFmtId="0" fontId="7" fillId="0" borderId="0" xfId="20"/>
    <xf numFmtId="0" fontId="78" fillId="0" borderId="0" xfId="19"/>
    <xf numFmtId="0" fontId="78" fillId="0" borderId="0" xfId="19" applyAlignment="1">
      <alignment horizontal="center" vertical="center"/>
    </xf>
    <xf numFmtId="0" fontId="21" fillId="0" borderId="0" xfId="19" applyFont="1" applyAlignment="1">
      <alignment horizontal="center" vertical="center"/>
    </xf>
    <xf numFmtId="0" fontId="73" fillId="0" borderId="0" xfId="19" applyFont="1" applyAlignment="1">
      <alignment horizontal="center" vertical="center"/>
    </xf>
    <xf numFmtId="0" fontId="73" fillId="0" borderId="0" xfId="19" applyFont="1" applyAlignment="1">
      <alignment horizontal="center" vertical="center" wrapText="1"/>
    </xf>
    <xf numFmtId="0" fontId="27" fillId="0" borderId="0" xfId="19" applyFont="1" applyAlignment="1">
      <alignment horizontal="center" vertical="center"/>
    </xf>
    <xf numFmtId="0" fontId="62" fillId="16" borderId="0" xfId="17" applyFont="1" applyFill="1" applyAlignment="1">
      <alignment horizontal="center" vertical="center" wrapText="1"/>
    </xf>
    <xf numFmtId="0" fontId="62" fillId="16" borderId="0" xfId="17" applyFont="1" applyFill="1" applyAlignment="1">
      <alignment horizontal="center" vertical="center"/>
    </xf>
    <xf numFmtId="0" fontId="62" fillId="17" borderId="0" xfId="17" applyFont="1" applyFill="1" applyAlignment="1">
      <alignment horizontal="center" vertical="center" wrapText="1"/>
    </xf>
    <xf numFmtId="0" fontId="79" fillId="0" borderId="1" xfId="19" applyFont="1" applyBorder="1" applyAlignment="1">
      <alignment horizontal="center" vertical="top" wrapText="1"/>
    </xf>
    <xf numFmtId="0" fontId="79" fillId="5" borderId="1" xfId="19" applyFont="1" applyFill="1" applyBorder="1" applyAlignment="1">
      <alignment horizontal="center" vertical="top" wrapText="1"/>
    </xf>
    <xf numFmtId="0" fontId="80" fillId="40" borderId="1" xfId="19" applyFont="1" applyFill="1" applyBorder="1" applyAlignment="1">
      <alignment horizontal="center" vertical="top" wrapText="1"/>
    </xf>
    <xf numFmtId="0" fontId="79" fillId="15" borderId="1" xfId="19" applyFont="1" applyFill="1" applyBorder="1" applyAlignment="1">
      <alignment horizontal="center" vertical="top" wrapText="1"/>
    </xf>
    <xf numFmtId="0" fontId="79" fillId="25" borderId="1" xfId="19" applyFont="1" applyFill="1" applyBorder="1" applyAlignment="1">
      <alignment horizontal="center" vertical="top" wrapText="1"/>
    </xf>
    <xf numFmtId="0" fontId="78" fillId="0" borderId="0" xfId="19" applyAlignment="1">
      <alignment vertical="top"/>
    </xf>
    <xf numFmtId="0" fontId="25" fillId="9" borderId="1" xfId="19" applyFont="1" applyFill="1" applyBorder="1" applyAlignment="1">
      <alignment horizontal="center" vertical="top" wrapText="1"/>
    </xf>
    <xf numFmtId="3" fontId="25" fillId="9" borderId="1" xfId="19" applyNumberFormat="1" applyFont="1" applyFill="1" applyBorder="1" applyAlignment="1">
      <alignment horizontal="center" vertical="top" wrapText="1"/>
    </xf>
    <xf numFmtId="0" fontId="25" fillId="15" borderId="1" xfId="19" applyFont="1" applyFill="1" applyBorder="1" applyAlignment="1">
      <alignment horizontal="center" vertical="top" wrapText="1"/>
    </xf>
    <xf numFmtId="3" fontId="25" fillId="15" borderId="1" xfId="19" applyNumberFormat="1" applyFont="1" applyFill="1" applyBorder="1" applyAlignment="1">
      <alignment horizontal="center" vertical="top" wrapText="1"/>
    </xf>
    <xf numFmtId="0" fontId="81" fillId="25" borderId="1" xfId="19" applyFont="1" applyFill="1" applyBorder="1" applyAlignment="1">
      <alignment horizontal="center" vertical="top" wrapText="1"/>
    </xf>
    <xf numFmtId="0" fontId="25" fillId="0" borderId="1" xfId="19" applyFont="1" applyBorder="1" applyAlignment="1">
      <alignment horizontal="center" vertical="top" wrapText="1"/>
    </xf>
    <xf numFmtId="0" fontId="81" fillId="0" borderId="1" xfId="19" applyFont="1" applyBorder="1" applyAlignment="1">
      <alignment horizontal="center" vertical="top" wrapText="1"/>
    </xf>
    <xf numFmtId="0" fontId="7" fillId="0" borderId="0" xfId="19" applyFont="1" applyAlignment="1">
      <alignment horizontal="center" vertical="top" wrapText="1"/>
    </xf>
    <xf numFmtId="0" fontId="78" fillId="0" borderId="0" xfId="19" applyAlignment="1">
      <alignment horizontal="center" vertical="center" wrapText="1"/>
    </xf>
    <xf numFmtId="0" fontId="7" fillId="0" borderId="0" xfId="19" applyFont="1" applyAlignment="1">
      <alignment horizontal="center" vertical="center" wrapText="1"/>
    </xf>
    <xf numFmtId="0" fontId="83" fillId="0" borderId="0" xfId="17" applyFont="1" applyAlignment="1">
      <alignment horizontal="center" vertical="center"/>
    </xf>
    <xf numFmtId="168" fontId="83" fillId="0" borderId="0" xfId="21" applyNumberFormat="1" applyFont="1" applyAlignment="1">
      <alignment horizontal="center" vertical="center"/>
    </xf>
    <xf numFmtId="168" fontId="83" fillId="18" borderId="0" xfId="21" applyNumberFormat="1" applyFont="1" applyFill="1" applyAlignment="1">
      <alignment horizontal="center" vertical="center"/>
    </xf>
    <xf numFmtId="170" fontId="13" fillId="0" borderId="1" xfId="19" applyNumberFormat="1" applyFont="1" applyBorder="1" applyAlignment="1">
      <alignment horizontal="center" vertical="center" wrapText="1"/>
    </xf>
    <xf numFmtId="168" fontId="7" fillId="0" borderId="1" xfId="20" applyNumberFormat="1" applyBorder="1" applyAlignment="1">
      <alignment horizontal="center" vertical="center"/>
    </xf>
    <xf numFmtId="170" fontId="13" fillId="5" borderId="1" xfId="19" applyNumberFormat="1" applyFont="1" applyFill="1" applyBorder="1" applyAlignment="1">
      <alignment horizontal="center" vertical="center" wrapText="1"/>
    </xf>
    <xf numFmtId="168" fontId="84" fillId="40" borderId="1" xfId="19" applyNumberFormat="1" applyFont="1" applyFill="1" applyBorder="1" applyAlignment="1">
      <alignment horizontal="center" vertical="center" wrapText="1"/>
    </xf>
    <xf numFmtId="0" fontId="13" fillId="5" borderId="1" xfId="19" applyFont="1" applyFill="1" applyBorder="1" applyAlignment="1">
      <alignment horizontal="center" vertical="center" wrapText="1"/>
    </xf>
    <xf numFmtId="168" fontId="13" fillId="4" borderId="1" xfId="19" applyNumberFormat="1" applyFont="1" applyFill="1" applyBorder="1" applyAlignment="1">
      <alignment horizontal="center" vertical="center" wrapText="1"/>
    </xf>
    <xf numFmtId="9" fontId="13" fillId="5" borderId="1" xfId="19" applyNumberFormat="1" applyFont="1" applyFill="1" applyBorder="1" applyAlignment="1">
      <alignment horizontal="center" vertical="center" wrapText="1"/>
    </xf>
    <xf numFmtId="0" fontId="13" fillId="15" borderId="1" xfId="19" applyFont="1" applyFill="1" applyBorder="1" applyAlignment="1">
      <alignment horizontal="center" vertical="center" wrapText="1"/>
    </xf>
    <xf numFmtId="9" fontId="13" fillId="15" borderId="1" xfId="18" applyFont="1" applyFill="1" applyBorder="1" applyAlignment="1">
      <alignment horizontal="center" vertical="center" wrapText="1"/>
    </xf>
    <xf numFmtId="170" fontId="13" fillId="15" borderId="1" xfId="19" applyNumberFormat="1" applyFont="1" applyFill="1" applyBorder="1" applyAlignment="1">
      <alignment horizontal="center" vertical="center" wrapText="1"/>
    </xf>
    <xf numFmtId="0" fontId="13" fillId="25" borderId="1" xfId="19" applyFont="1" applyFill="1" applyBorder="1" applyAlignment="1">
      <alignment horizontal="center" vertical="center" wrapText="1"/>
    </xf>
    <xf numFmtId="9" fontId="13" fillId="25" borderId="1" xfId="18" applyFont="1" applyFill="1" applyBorder="1" applyAlignment="1">
      <alignment horizontal="center" vertical="center" wrapText="1"/>
    </xf>
    <xf numFmtId="170" fontId="13" fillId="25" borderId="1" xfId="19" applyNumberFormat="1" applyFont="1" applyFill="1" applyBorder="1" applyAlignment="1">
      <alignment horizontal="center" vertical="center" wrapText="1"/>
    </xf>
    <xf numFmtId="43" fontId="13" fillId="9" borderId="1" xfId="19" applyNumberFormat="1" applyFont="1" applyFill="1" applyBorder="1" applyAlignment="1">
      <alignment horizontal="center" vertical="center" wrapText="1"/>
    </xf>
    <xf numFmtId="168" fontId="7" fillId="9" borderId="1" xfId="20" applyNumberFormat="1" applyFill="1" applyBorder="1" applyAlignment="1">
      <alignment horizontal="center" vertical="center"/>
    </xf>
    <xf numFmtId="170" fontId="13" fillId="9" borderId="1" xfId="19" applyNumberFormat="1" applyFont="1" applyFill="1" applyBorder="1" applyAlignment="1">
      <alignment horizontal="center" vertical="center" wrapText="1"/>
    </xf>
    <xf numFmtId="178" fontId="7" fillId="9" borderId="1" xfId="20" applyNumberFormat="1" applyFill="1" applyBorder="1" applyAlignment="1">
      <alignment horizontal="center" vertical="center"/>
    </xf>
    <xf numFmtId="168" fontId="7" fillId="15" borderId="1" xfId="20" applyNumberFormat="1" applyFill="1" applyBorder="1" applyAlignment="1">
      <alignment horizontal="center" vertical="center"/>
    </xf>
    <xf numFmtId="178" fontId="7" fillId="15" borderId="1" xfId="20" applyNumberFormat="1" applyFill="1" applyBorder="1" applyAlignment="1">
      <alignment horizontal="center" vertical="center"/>
    </xf>
    <xf numFmtId="43" fontId="13" fillId="25" borderId="1" xfId="19" applyNumberFormat="1" applyFont="1" applyFill="1" applyBorder="1" applyAlignment="1">
      <alignment horizontal="center" vertical="center" wrapText="1"/>
    </xf>
    <xf numFmtId="168" fontId="7" fillId="25" borderId="1" xfId="20" applyNumberFormat="1" applyFill="1" applyBorder="1" applyAlignment="1">
      <alignment horizontal="center" vertical="center"/>
    </xf>
    <xf numFmtId="178" fontId="7" fillId="25" borderId="1" xfId="20" applyNumberFormat="1" applyFill="1" applyBorder="1" applyAlignment="1">
      <alignment horizontal="center" vertical="center"/>
    </xf>
    <xf numFmtId="0" fontId="13" fillId="0" borderId="1" xfId="19" applyFont="1" applyBorder="1" applyAlignment="1">
      <alignment horizontal="center" vertical="center" wrapText="1"/>
    </xf>
    <xf numFmtId="168" fontId="13" fillId="0" borderId="1" xfId="19" applyNumberFormat="1" applyFont="1" applyBorder="1" applyAlignment="1">
      <alignment horizontal="center" vertical="center" wrapText="1"/>
    </xf>
    <xf numFmtId="180" fontId="13" fillId="0" borderId="1" xfId="19" applyNumberFormat="1" applyFont="1" applyBorder="1" applyAlignment="1">
      <alignment horizontal="center" vertical="center" wrapText="1"/>
    </xf>
    <xf numFmtId="178" fontId="7" fillId="0" borderId="1" xfId="20" applyNumberFormat="1" applyBorder="1" applyAlignment="1">
      <alignment horizontal="center" vertical="center"/>
    </xf>
    <xf numFmtId="165" fontId="13" fillId="0" borderId="1" xfId="19" applyNumberFormat="1" applyFont="1" applyBorder="1" applyAlignment="1">
      <alignment horizontal="center" vertical="center" wrapText="1"/>
    </xf>
    <xf numFmtId="168" fontId="7" fillId="0" borderId="0" xfId="20" applyNumberFormat="1"/>
    <xf numFmtId="178" fontId="7" fillId="0" borderId="0" xfId="20" applyNumberFormat="1" applyAlignment="1">
      <alignment horizontal="center" vertical="center"/>
    </xf>
    <xf numFmtId="168" fontId="68" fillId="0" borderId="1" xfId="20" applyNumberFormat="1" applyFont="1" applyBorder="1" applyAlignment="1">
      <alignment horizontal="center" vertical="center"/>
    </xf>
    <xf numFmtId="178" fontId="68" fillId="0" borderId="1" xfId="20" applyNumberFormat="1" applyFont="1" applyBorder="1" applyAlignment="1">
      <alignment horizontal="center" vertical="center"/>
    </xf>
    <xf numFmtId="0" fontId="68" fillId="0" borderId="1" xfId="20" applyFont="1" applyBorder="1" applyAlignment="1">
      <alignment horizontal="center" vertical="center"/>
    </xf>
    <xf numFmtId="168" fontId="68" fillId="0" borderId="1" xfId="20" applyNumberFormat="1" applyFont="1" applyBorder="1"/>
    <xf numFmtId="43" fontId="7" fillId="0" borderId="0" xfId="20" applyNumberFormat="1" applyAlignment="1">
      <alignment horizontal="center" vertical="center"/>
    </xf>
    <xf numFmtId="168" fontId="7" fillId="0" borderId="0" xfId="20" applyNumberFormat="1" applyAlignment="1">
      <alignment horizontal="center" vertical="center"/>
    </xf>
    <xf numFmtId="0" fontId="85" fillId="0" borderId="1" xfId="19" applyFont="1" applyBorder="1" applyAlignment="1">
      <alignment horizontal="center" vertical="center" wrapText="1"/>
    </xf>
    <xf numFmtId="165" fontId="85" fillId="0" borderId="1" xfId="19" applyNumberFormat="1" applyFont="1" applyBorder="1" applyAlignment="1">
      <alignment horizontal="center" vertical="center" wrapText="1"/>
    </xf>
    <xf numFmtId="184" fontId="7" fillId="0" borderId="0" xfId="20" applyNumberFormat="1" applyAlignment="1">
      <alignment horizontal="center" vertical="center"/>
    </xf>
    <xf numFmtId="183" fontId="7" fillId="0" borderId="0" xfId="20" applyNumberFormat="1" applyAlignment="1">
      <alignment horizontal="center" vertical="center"/>
    </xf>
    <xf numFmtId="0" fontId="7" fillId="0" borderId="22" xfId="20" applyBorder="1"/>
    <xf numFmtId="168" fontId="7" fillId="0" borderId="22" xfId="20" applyNumberFormat="1" applyBorder="1" applyAlignment="1">
      <alignment horizontal="center" vertical="center"/>
    </xf>
    <xf numFmtId="168" fontId="7" fillId="0" borderId="28" xfId="20" applyNumberFormat="1" applyBorder="1" applyAlignment="1">
      <alignment horizontal="center" vertical="center"/>
    </xf>
    <xf numFmtId="168" fontId="7" fillId="0" borderId="33" xfId="20" applyNumberFormat="1" applyBorder="1" applyAlignment="1">
      <alignment horizontal="center" vertical="center"/>
    </xf>
    <xf numFmtId="43" fontId="7" fillId="0" borderId="33" xfId="20" applyNumberFormat="1" applyBorder="1" applyAlignment="1">
      <alignment horizontal="center" vertical="center"/>
    </xf>
    <xf numFmtId="0" fontId="7" fillId="0" borderId="10" xfId="20" applyBorder="1"/>
    <xf numFmtId="0" fontId="7" fillId="3" borderId="0" xfId="20" applyFill="1"/>
    <xf numFmtId="0" fontId="9" fillId="0" borderId="0" xfId="20" applyFont="1"/>
    <xf numFmtId="0" fontId="9" fillId="3" borderId="0" xfId="20" applyFont="1" applyFill="1"/>
    <xf numFmtId="0" fontId="9" fillId="0" borderId="10" xfId="20" applyFont="1" applyBorder="1"/>
    <xf numFmtId="0" fontId="9" fillId="0" borderId="23" xfId="20" applyFont="1" applyBorder="1"/>
    <xf numFmtId="0" fontId="86" fillId="0" borderId="7" xfId="17" applyFont="1" applyBorder="1" applyAlignment="1">
      <alignment horizontal="center" vertical="center"/>
    </xf>
    <xf numFmtId="168" fontId="87" fillId="0" borderId="7" xfId="17" applyNumberFormat="1" applyFont="1" applyBorder="1" applyAlignment="1">
      <alignment horizontal="center" vertical="center"/>
    </xf>
    <xf numFmtId="9" fontId="7" fillId="4" borderId="0" xfId="18" applyFont="1" applyFill="1"/>
    <xf numFmtId="178" fontId="7" fillId="0" borderId="0" xfId="20" applyNumberFormat="1"/>
    <xf numFmtId="207" fontId="7" fillId="0" borderId="0" xfId="20" applyNumberFormat="1" applyAlignment="1">
      <alignment horizontal="center" vertical="center"/>
    </xf>
    <xf numFmtId="168" fontId="7" fillId="0" borderId="29" xfId="20" applyNumberFormat="1" applyBorder="1" applyAlignment="1">
      <alignment horizontal="center"/>
    </xf>
    <xf numFmtId="178" fontId="7" fillId="0" borderId="30" xfId="20" applyNumberFormat="1" applyBorder="1" applyAlignment="1">
      <alignment horizontal="center"/>
    </xf>
    <xf numFmtId="168" fontId="7" fillId="0" borderId="30" xfId="20" applyNumberFormat="1" applyBorder="1" applyAlignment="1">
      <alignment horizontal="center"/>
    </xf>
    <xf numFmtId="2" fontId="13" fillId="0" borderId="30" xfId="19" applyNumberFormat="1" applyFont="1" applyBorder="1" applyAlignment="1">
      <alignment horizontal="center" vertical="center" wrapText="1"/>
    </xf>
    <xf numFmtId="10" fontId="7" fillId="0" borderId="30" xfId="18" applyNumberFormat="1" applyFont="1" applyBorder="1" applyAlignment="1">
      <alignment horizontal="center"/>
    </xf>
    <xf numFmtId="168" fontId="9" fillId="0" borderId="31" xfId="20" applyNumberFormat="1" applyFont="1" applyBorder="1" applyAlignment="1">
      <alignment horizontal="center"/>
    </xf>
    <xf numFmtId="10" fontId="7" fillId="0" borderId="30" xfId="18" applyNumberFormat="1" applyFont="1" applyFill="1" applyBorder="1" applyAlignment="1">
      <alignment horizontal="center"/>
    </xf>
    <xf numFmtId="3" fontId="9" fillId="10" borderId="34" xfId="19" applyNumberFormat="1" applyFont="1" applyFill="1" applyBorder="1" applyAlignment="1">
      <alignment horizontal="center" vertical="center" wrapText="1"/>
    </xf>
    <xf numFmtId="2" fontId="9" fillId="0" borderId="24" xfId="20" applyNumberFormat="1" applyFont="1" applyBorder="1" applyAlignment="1">
      <alignment horizontal="center"/>
    </xf>
    <xf numFmtId="168" fontId="9" fillId="0" borderId="1" xfId="20" applyNumberFormat="1" applyFont="1" applyBorder="1"/>
    <xf numFmtId="0" fontId="88" fillId="0" borderId="0" xfId="17" applyFont="1" applyAlignment="1">
      <alignment horizontal="center" vertical="center"/>
    </xf>
    <xf numFmtId="10" fontId="88" fillId="0" borderId="0" xfId="22" applyNumberFormat="1" applyFont="1" applyAlignment="1">
      <alignment horizontal="center" vertical="center"/>
    </xf>
    <xf numFmtId="169" fontId="89" fillId="0" borderId="0" xfId="10" applyNumberFormat="1" applyFont="1" applyFill="1" applyAlignment="1">
      <alignment horizontal="center" vertical="center"/>
    </xf>
    <xf numFmtId="168" fontId="88" fillId="0" borderId="0" xfId="21" applyNumberFormat="1" applyFont="1" applyAlignment="1">
      <alignment horizontal="center" vertical="center"/>
    </xf>
    <xf numFmtId="168" fontId="90" fillId="0" borderId="0" xfId="21" applyNumberFormat="1" applyFont="1" applyAlignment="1">
      <alignment horizontal="center" vertical="center"/>
    </xf>
    <xf numFmtId="9" fontId="90" fillId="0" borderId="0" xfId="22" applyFont="1" applyAlignment="1">
      <alignment horizontal="center" vertical="center"/>
    </xf>
    <xf numFmtId="43" fontId="7" fillId="0" borderId="0" xfId="20" applyNumberFormat="1"/>
    <xf numFmtId="0" fontId="7" fillId="0" borderId="0" xfId="20" applyAlignment="1">
      <alignment horizontal="center" vertical="center"/>
    </xf>
    <xf numFmtId="0" fontId="91" fillId="0" borderId="0" xfId="20" applyFont="1"/>
    <xf numFmtId="0" fontId="70" fillId="0" borderId="0" xfId="20" applyFont="1"/>
    <xf numFmtId="164" fontId="7" fillId="0" borderId="0" xfId="18" applyNumberFormat="1" applyFont="1"/>
    <xf numFmtId="164" fontId="7" fillId="4" borderId="0" xfId="18" applyNumberFormat="1" applyFont="1" applyFill="1"/>
    <xf numFmtId="0" fontId="92" fillId="0" borderId="0" xfId="20" applyFont="1" applyAlignment="1">
      <alignment horizontal="left" vertical="center"/>
    </xf>
    <xf numFmtId="164" fontId="91" fillId="4" borderId="0" xfId="18" applyNumberFormat="1" applyFont="1" applyFill="1"/>
    <xf numFmtId="43" fontId="7" fillId="4" borderId="0" xfId="20" applyNumberFormat="1" applyFill="1" applyAlignment="1">
      <alignment horizontal="center" vertical="center"/>
    </xf>
    <xf numFmtId="0" fontId="86" fillId="0" borderId="0" xfId="19" applyFont="1"/>
    <xf numFmtId="165" fontId="6" fillId="0" borderId="0" xfId="19" applyNumberFormat="1" applyFont="1"/>
    <xf numFmtId="165" fontId="23" fillId="0" borderId="0" xfId="20" applyNumberFormat="1" applyFont="1"/>
    <xf numFmtId="0" fontId="6" fillId="0" borderId="1" xfId="25" applyBorder="1" applyAlignment="1">
      <alignment horizontal="center" vertical="center"/>
    </xf>
    <xf numFmtId="165" fontId="6" fillId="0" borderId="1" xfId="25" applyNumberFormat="1" applyBorder="1" applyAlignment="1">
      <alignment horizontal="center" vertical="center"/>
    </xf>
    <xf numFmtId="0" fontId="6" fillId="0" borderId="0" xfId="25"/>
    <xf numFmtId="168" fontId="93" fillId="28" borderId="1" xfId="24" applyNumberFormat="1" applyFont="1" applyFill="1" applyBorder="1" applyAlignment="1">
      <alignment horizontal="center" vertical="center" wrapText="1"/>
    </xf>
    <xf numFmtId="168" fontId="93" fillId="28" borderId="2" xfId="24" applyNumberFormat="1" applyFont="1" applyFill="1" applyBorder="1" applyAlignment="1">
      <alignment horizontal="center" vertical="center" wrapText="1"/>
    </xf>
    <xf numFmtId="168" fontId="93" fillId="28" borderId="9" xfId="24" applyNumberFormat="1" applyFont="1" applyFill="1" applyBorder="1" applyAlignment="1">
      <alignment horizontal="center" vertical="center" wrapText="1"/>
    </xf>
    <xf numFmtId="168" fontId="22" fillId="28" borderId="0" xfId="24" applyNumberFormat="1" applyFont="1" applyFill="1" applyAlignment="1">
      <alignment wrapText="1"/>
    </xf>
    <xf numFmtId="0" fontId="6" fillId="0" borderId="6" xfId="25" applyBorder="1" applyAlignment="1">
      <alignment horizontal="center" vertical="center"/>
    </xf>
    <xf numFmtId="168" fontId="0" fillId="0" borderId="0" xfId="24" applyNumberFormat="1" applyFont="1" applyBorder="1" applyAlignment="1">
      <alignment horizontal="center" vertical="center"/>
    </xf>
    <xf numFmtId="43" fontId="0" fillId="0" borderId="0" xfId="24" applyFont="1" applyBorder="1" applyAlignment="1">
      <alignment horizontal="center" vertical="center"/>
    </xf>
    <xf numFmtId="43" fontId="0" fillId="0" borderId="46" xfId="24" applyFont="1" applyBorder="1" applyAlignment="1">
      <alignment horizontal="center" vertical="center"/>
    </xf>
    <xf numFmtId="168" fontId="0" fillId="0" borderId="0" xfId="24" applyNumberFormat="1" applyFont="1"/>
    <xf numFmtId="178" fontId="0" fillId="0" borderId="0" xfId="24" applyNumberFormat="1" applyFont="1" applyBorder="1" applyAlignment="1">
      <alignment horizontal="center" vertical="center"/>
    </xf>
    <xf numFmtId="9" fontId="0" fillId="0" borderId="0" xfId="26" applyFont="1" applyBorder="1" applyAlignment="1">
      <alignment horizontal="center" vertical="center"/>
    </xf>
    <xf numFmtId="168" fontId="0" fillId="0" borderId="46" xfId="24" applyNumberFormat="1" applyFont="1" applyBorder="1" applyAlignment="1">
      <alignment horizontal="center" vertical="center"/>
    </xf>
    <xf numFmtId="168" fontId="6" fillId="0" borderId="0" xfId="25" applyNumberFormat="1"/>
    <xf numFmtId="0" fontId="6" fillId="0" borderId="5" xfId="25" applyBorder="1" applyAlignment="1">
      <alignment horizontal="center" vertical="center"/>
    </xf>
    <xf numFmtId="168" fontId="0" fillId="0" borderId="21" xfId="24" applyNumberFormat="1" applyFont="1" applyBorder="1" applyAlignment="1">
      <alignment horizontal="center" vertical="center"/>
    </xf>
    <xf numFmtId="43" fontId="0" fillId="0" borderId="21" xfId="24" applyFont="1" applyBorder="1" applyAlignment="1">
      <alignment horizontal="center" vertical="center"/>
    </xf>
    <xf numFmtId="178" fontId="0" fillId="0" borderId="21" xfId="24" applyNumberFormat="1" applyFont="1" applyBorder="1" applyAlignment="1">
      <alignment horizontal="center" vertical="center"/>
    </xf>
    <xf numFmtId="9" fontId="0" fillId="0" borderId="21" xfId="26" applyFont="1" applyBorder="1" applyAlignment="1">
      <alignment horizontal="center" vertical="center"/>
    </xf>
    <xf numFmtId="168" fontId="0" fillId="0" borderId="48" xfId="24" applyNumberFormat="1" applyFont="1" applyBorder="1" applyAlignment="1">
      <alignment horizontal="center" vertical="center"/>
    </xf>
    <xf numFmtId="1" fontId="6" fillId="0" borderId="0" xfId="25" applyNumberFormat="1"/>
    <xf numFmtId="0" fontId="6" fillId="29" borderId="1" xfId="25" applyFill="1" applyBorder="1"/>
    <xf numFmtId="0" fontId="6" fillId="23" borderId="22" xfId="25" applyFill="1" applyBorder="1"/>
    <xf numFmtId="168" fontId="6" fillId="19" borderId="0" xfId="25" applyNumberFormat="1" applyFill="1" applyAlignment="1">
      <alignment horizontal="center" vertical="center"/>
    </xf>
    <xf numFmtId="0" fontId="6" fillId="19" borderId="11" xfId="25" applyFill="1" applyBorder="1"/>
    <xf numFmtId="168" fontId="0" fillId="0" borderId="2" xfId="24" applyNumberFormat="1" applyFont="1" applyBorder="1" applyAlignment="1">
      <alignment horizontal="center" vertical="center"/>
    </xf>
    <xf numFmtId="43" fontId="0" fillId="0" borderId="2" xfId="24" applyFont="1" applyBorder="1" applyAlignment="1">
      <alignment horizontal="center" vertical="center"/>
    </xf>
    <xf numFmtId="178" fontId="0" fillId="0" borderId="2" xfId="24" applyNumberFormat="1" applyFont="1" applyBorder="1" applyAlignment="1">
      <alignment horizontal="center" vertical="center"/>
    </xf>
    <xf numFmtId="168" fontId="0" fillId="0" borderId="9" xfId="24" applyNumberFormat="1" applyFont="1" applyBorder="1" applyAlignment="1">
      <alignment horizontal="center" vertical="center"/>
    </xf>
    <xf numFmtId="0" fontId="6" fillId="23" borderId="10" xfId="25" applyFill="1" applyBorder="1"/>
    <xf numFmtId="168" fontId="0" fillId="0" borderId="3" xfId="24" applyNumberFormat="1" applyFont="1" applyBorder="1" applyAlignment="1">
      <alignment horizontal="center" vertical="center"/>
    </xf>
    <xf numFmtId="0" fontId="6" fillId="0" borderId="0" xfId="25" applyAlignment="1">
      <alignment horizontal="center" vertical="center"/>
    </xf>
    <xf numFmtId="178" fontId="6" fillId="0" borderId="0" xfId="25" applyNumberFormat="1" applyAlignment="1">
      <alignment horizontal="center" vertical="center"/>
    </xf>
    <xf numFmtId="168" fontId="6" fillId="0" borderId="0" xfId="25" applyNumberFormat="1" applyAlignment="1">
      <alignment horizontal="center" vertical="center"/>
    </xf>
    <xf numFmtId="168" fontId="6" fillId="0" borderId="46" xfId="25" applyNumberFormat="1" applyBorder="1" applyAlignment="1">
      <alignment horizontal="center" vertical="center"/>
    </xf>
    <xf numFmtId="168" fontId="0" fillId="0" borderId="21" xfId="24" applyNumberFormat="1" applyFont="1" applyFill="1" applyBorder="1" applyAlignment="1">
      <alignment horizontal="center" vertical="center"/>
    </xf>
    <xf numFmtId="43" fontId="0" fillId="0" borderId="0" xfId="24" applyFont="1" applyFill="1" applyBorder="1" applyAlignment="1">
      <alignment horizontal="center" vertical="center"/>
    </xf>
    <xf numFmtId="168" fontId="0" fillId="0" borderId="0" xfId="24" applyNumberFormat="1" applyFont="1" applyFill="1" applyBorder="1" applyAlignment="1">
      <alignment horizontal="center" vertical="center"/>
    </xf>
    <xf numFmtId="9" fontId="0" fillId="0" borderId="21" xfId="26" applyFont="1" applyFill="1" applyBorder="1" applyAlignment="1">
      <alignment horizontal="center" vertical="center"/>
    </xf>
    <xf numFmtId="0" fontId="6" fillId="23" borderId="23" xfId="25" applyFill="1" applyBorder="1"/>
    <xf numFmtId="0" fontId="21" fillId="0" borderId="5" xfId="25" applyFont="1" applyBorder="1" applyAlignment="1">
      <alignment horizontal="center" vertical="center"/>
    </xf>
    <xf numFmtId="168" fontId="21" fillId="0" borderId="21" xfId="24" applyNumberFormat="1" applyFont="1" applyBorder="1" applyAlignment="1">
      <alignment horizontal="center" vertical="center"/>
    </xf>
    <xf numFmtId="168" fontId="21" fillId="0" borderId="48" xfId="24" applyNumberFormat="1" applyFont="1" applyBorder="1" applyAlignment="1">
      <alignment horizontal="center" vertical="center"/>
    </xf>
    <xf numFmtId="168" fontId="22" fillId="28" borderId="1" xfId="24" applyNumberFormat="1" applyFont="1" applyFill="1" applyBorder="1" applyAlignment="1">
      <alignment horizontal="center" vertical="center"/>
    </xf>
    <xf numFmtId="168" fontId="22" fillId="28" borderId="1" xfId="24" applyNumberFormat="1" applyFont="1" applyFill="1" applyBorder="1" applyAlignment="1">
      <alignment horizontal="left" vertical="center"/>
    </xf>
    <xf numFmtId="43" fontId="0" fillId="0" borderId="1" xfId="24" applyFont="1" applyBorder="1" applyAlignment="1">
      <alignment horizontal="left" vertical="center"/>
    </xf>
    <xf numFmtId="0" fontId="6" fillId="0" borderId="0" xfId="25" applyAlignment="1">
      <alignment horizontal="left"/>
    </xf>
    <xf numFmtId="3" fontId="6" fillId="0" borderId="0" xfId="25" applyNumberFormat="1"/>
    <xf numFmtId="0" fontId="21" fillId="0" borderId="0" xfId="25" applyFont="1"/>
    <xf numFmtId="165" fontId="6" fillId="0" borderId="0" xfId="25" applyNumberFormat="1"/>
    <xf numFmtId="165" fontId="21" fillId="0" borderId="0" xfId="25" applyNumberFormat="1" applyFont="1"/>
    <xf numFmtId="208" fontId="33" fillId="0" borderId="0" xfId="4" applyNumberFormat="1" applyFont="1" applyAlignment="1">
      <alignment horizontal="center" vertical="center"/>
    </xf>
    <xf numFmtId="185" fontId="33" fillId="41" borderId="1" xfId="4" applyNumberFormat="1" applyFont="1" applyFill="1" applyBorder="1" applyAlignment="1">
      <alignment horizontal="center" vertical="center"/>
    </xf>
    <xf numFmtId="10" fontId="7" fillId="0" borderId="0" xfId="3" applyNumberFormat="1" applyFont="1"/>
    <xf numFmtId="164" fontId="13" fillId="0" borderId="0" xfId="3" applyNumberFormat="1" applyFont="1" applyAlignment="1">
      <alignment horizontal="center" vertical="center"/>
    </xf>
    <xf numFmtId="9" fontId="6" fillId="0" borderId="0" xfId="25" applyNumberFormat="1" applyAlignment="1">
      <alignment horizontal="center" vertical="center"/>
    </xf>
    <xf numFmtId="1" fontId="6" fillId="23" borderId="3" xfId="25" applyNumberFormat="1" applyFill="1" applyBorder="1" applyAlignment="1">
      <alignment horizontal="center" vertical="center"/>
    </xf>
    <xf numFmtId="1" fontId="6" fillId="19" borderId="2" xfId="25" applyNumberFormat="1" applyFill="1" applyBorder="1" applyAlignment="1">
      <alignment horizontal="center" vertical="center"/>
    </xf>
    <xf numFmtId="1" fontId="6" fillId="23" borderId="0" xfId="25" applyNumberFormat="1" applyFill="1" applyAlignment="1">
      <alignment horizontal="center" vertical="center"/>
    </xf>
    <xf numFmtId="1" fontId="6" fillId="23" borderId="21" xfId="25" applyNumberFormat="1" applyFill="1" applyBorder="1" applyAlignment="1">
      <alignment horizontal="center" vertical="center"/>
    </xf>
    <xf numFmtId="1" fontId="6" fillId="0" borderId="0" xfId="25" applyNumberFormat="1" applyAlignment="1">
      <alignment horizontal="center" vertical="center"/>
    </xf>
    <xf numFmtId="1" fontId="6" fillId="23" borderId="2" xfId="25" applyNumberFormat="1" applyFill="1" applyBorder="1" applyAlignment="1">
      <alignment horizontal="center" vertical="center"/>
    </xf>
    <xf numFmtId="168" fontId="0" fillId="0" borderId="0" xfId="24" applyNumberFormat="1" applyFont="1" applyAlignment="1">
      <alignment horizontal="center" vertical="center"/>
    </xf>
    <xf numFmtId="2" fontId="6" fillId="0" borderId="0" xfId="25" applyNumberFormat="1" applyAlignment="1">
      <alignment horizontal="center" vertical="center"/>
    </xf>
    <xf numFmtId="0" fontId="6" fillId="0" borderId="4" xfId="25" applyBorder="1" applyAlignment="1">
      <alignment horizontal="center" vertical="center"/>
    </xf>
    <xf numFmtId="178" fontId="0" fillId="4" borderId="2" xfId="24" applyNumberFormat="1" applyFont="1" applyFill="1" applyBorder="1" applyAlignment="1">
      <alignment horizontal="center" vertical="center"/>
    </xf>
    <xf numFmtId="168" fontId="21" fillId="0" borderId="0" xfId="24" applyNumberFormat="1" applyFont="1" applyAlignment="1">
      <alignment horizontal="center" vertical="center"/>
    </xf>
    <xf numFmtId="0" fontId="27" fillId="0" borderId="1" xfId="19" applyFont="1" applyBorder="1" applyAlignment="1">
      <alignment horizontal="center" vertical="center" wrapText="1"/>
    </xf>
    <xf numFmtId="3" fontId="0" fillId="4" borderId="1" xfId="0" applyNumberFormat="1" applyFill="1" applyBorder="1" applyAlignment="1">
      <alignment horizontal="center" vertical="center"/>
    </xf>
    <xf numFmtId="9" fontId="33" fillId="0" borderId="0" xfId="3" applyFont="1"/>
    <xf numFmtId="0" fontId="27" fillId="0" borderId="0" xfId="19" applyFont="1" applyAlignment="1">
      <alignment horizontal="center" vertical="center" wrapText="1"/>
    </xf>
    <xf numFmtId="43" fontId="6" fillId="0" borderId="0" xfId="25" applyNumberFormat="1" applyAlignment="1">
      <alignment horizontal="center" vertical="center"/>
    </xf>
    <xf numFmtId="0" fontId="8" fillId="0" borderId="0" xfId="4" applyFont="1"/>
    <xf numFmtId="0" fontId="9" fillId="0" borderId="1" xfId="20" applyFont="1" applyBorder="1" applyAlignment="1">
      <alignment horizontal="center" vertical="center"/>
    </xf>
    <xf numFmtId="168" fontId="7" fillId="0" borderId="4" xfId="20" applyNumberFormat="1" applyBorder="1" applyAlignment="1">
      <alignment horizontal="center" vertical="center"/>
    </xf>
    <xf numFmtId="178" fontId="7" fillId="0" borderId="4" xfId="20" applyNumberFormat="1" applyBorder="1" applyAlignment="1">
      <alignment horizontal="center" vertical="center"/>
    </xf>
    <xf numFmtId="178" fontId="7" fillId="0" borderId="6" xfId="20" applyNumberFormat="1" applyBorder="1" applyAlignment="1">
      <alignment horizontal="center" vertical="center"/>
    </xf>
    <xf numFmtId="43" fontId="7" fillId="0" borderId="4" xfId="20" applyNumberFormat="1" applyBorder="1" applyAlignment="1">
      <alignment horizontal="center" vertical="center"/>
    </xf>
    <xf numFmtId="43" fontId="7" fillId="0" borderId="6" xfId="20" applyNumberFormat="1" applyBorder="1" applyAlignment="1">
      <alignment horizontal="center" vertical="center"/>
    </xf>
    <xf numFmtId="164" fontId="72" fillId="41" borderId="1" xfId="6" applyNumberFormat="1" applyFont="1" applyFill="1" applyBorder="1" applyAlignment="1">
      <alignment horizontal="center"/>
    </xf>
    <xf numFmtId="168" fontId="7" fillId="0" borderId="10" xfId="20" applyNumberFormat="1" applyBorder="1" applyAlignment="1">
      <alignment horizontal="center" vertical="center"/>
    </xf>
    <xf numFmtId="168" fontId="9" fillId="0" borderId="11" xfId="20" applyNumberFormat="1" applyFont="1" applyBorder="1"/>
    <xf numFmtId="2" fontId="9" fillId="0" borderId="1" xfId="20" applyNumberFormat="1" applyFont="1" applyBorder="1"/>
    <xf numFmtId="178" fontId="9" fillId="0" borderId="1" xfId="20" applyNumberFormat="1" applyFont="1" applyBorder="1"/>
    <xf numFmtId="168" fontId="13" fillId="0" borderId="22" xfId="20" applyNumberFormat="1" applyFont="1" applyBorder="1" applyAlignment="1">
      <alignment horizontal="center" vertical="center"/>
    </xf>
    <xf numFmtId="168" fontId="9" fillId="0" borderId="11" xfId="20" applyNumberFormat="1" applyFont="1" applyBorder="1" applyAlignment="1">
      <alignment horizontal="center" vertical="center"/>
    </xf>
    <xf numFmtId="0" fontId="7" fillId="0" borderId="0" xfId="20" applyAlignment="1">
      <alignment horizontal="right"/>
    </xf>
    <xf numFmtId="0" fontId="68" fillId="0" borderId="1" xfId="19" applyFont="1" applyBorder="1" applyAlignment="1">
      <alignment horizontal="center" vertical="center" wrapText="1"/>
    </xf>
    <xf numFmtId="0" fontId="7" fillId="0" borderId="1" xfId="19" applyFont="1" applyBorder="1" applyAlignment="1">
      <alignment horizontal="center" vertical="center" wrapText="1"/>
    </xf>
    <xf numFmtId="0" fontId="74" fillId="0" borderId="1" xfId="19" applyFont="1" applyBorder="1" applyAlignment="1">
      <alignment horizontal="center" vertical="center" wrapText="1"/>
    </xf>
    <xf numFmtId="0" fontId="82" fillId="0" borderId="1" xfId="19" applyFont="1" applyBorder="1" applyAlignment="1">
      <alignment horizontal="center" vertical="center" wrapText="1"/>
    </xf>
    <xf numFmtId="0" fontId="81" fillId="0" borderId="0" xfId="19" applyFont="1" applyAlignment="1">
      <alignment horizontal="center" vertical="center" wrapText="1"/>
    </xf>
    <xf numFmtId="0" fontId="25" fillId="0" borderId="1" xfId="19" applyFont="1" applyBorder="1" applyAlignment="1">
      <alignment horizontal="center" vertical="center" wrapText="1"/>
    </xf>
    <xf numFmtId="0" fontId="81" fillId="0" borderId="1" xfId="19" applyFont="1" applyBorder="1" applyAlignment="1">
      <alignment horizontal="center" vertical="center" wrapText="1"/>
    </xf>
    <xf numFmtId="0" fontId="25" fillId="0" borderId="25" xfId="19" applyFont="1" applyBorder="1" applyAlignment="1">
      <alignment horizontal="center" vertical="center" wrapText="1"/>
    </xf>
    <xf numFmtId="0" fontId="25" fillId="0" borderId="26" xfId="19" applyFont="1" applyBorder="1" applyAlignment="1">
      <alignment horizontal="center" vertical="center" wrapText="1"/>
    </xf>
    <xf numFmtId="0" fontId="25" fillId="0" borderId="27" xfId="19" applyFont="1" applyBorder="1" applyAlignment="1">
      <alignment horizontal="center" vertical="center" wrapText="1"/>
    </xf>
    <xf numFmtId="0" fontId="25" fillId="0" borderId="32" xfId="19" applyFont="1" applyBorder="1" applyAlignment="1">
      <alignment horizontal="center" vertical="center" wrapText="1"/>
    </xf>
    <xf numFmtId="0" fontId="81" fillId="0" borderId="32" xfId="19" applyFont="1" applyBorder="1" applyAlignment="1">
      <alignment horizontal="center" vertical="center" wrapText="1"/>
    </xf>
    <xf numFmtId="178" fontId="9" fillId="0" borderId="9" xfId="20" applyNumberFormat="1" applyFont="1" applyBorder="1"/>
    <xf numFmtId="9" fontId="83" fillId="18" borderId="6" xfId="22" applyFont="1" applyFill="1" applyBorder="1" applyAlignment="1">
      <alignment horizontal="center" vertical="center"/>
    </xf>
    <xf numFmtId="9" fontId="83" fillId="18" borderId="5" xfId="22" applyFont="1" applyFill="1" applyBorder="1" applyAlignment="1">
      <alignment horizontal="center" vertical="center"/>
    </xf>
    <xf numFmtId="0" fontId="7" fillId="0" borderId="0" xfId="20" applyAlignment="1">
      <alignment horizontal="right" vertical="center"/>
    </xf>
    <xf numFmtId="168" fontId="87" fillId="0" borderId="0" xfId="21" applyNumberFormat="1" applyFont="1" applyAlignment="1">
      <alignment horizontal="center" vertical="center"/>
    </xf>
    <xf numFmtId="168" fontId="87" fillId="18" borderId="0" xfId="21" applyNumberFormat="1" applyFont="1" applyFill="1" applyAlignment="1">
      <alignment horizontal="center" vertical="center"/>
    </xf>
    <xf numFmtId="9" fontId="87" fillId="18" borderId="4" xfId="22" applyFont="1" applyFill="1" applyBorder="1" applyAlignment="1">
      <alignment horizontal="center" vertical="center"/>
    </xf>
    <xf numFmtId="168" fontId="87" fillId="0" borderId="0" xfId="21" applyNumberFormat="1" applyFont="1" applyFill="1" applyAlignment="1">
      <alignment horizontal="center" vertical="center"/>
    </xf>
    <xf numFmtId="9" fontId="87" fillId="18" borderId="6" xfId="22" applyFont="1" applyFill="1" applyBorder="1" applyAlignment="1">
      <alignment horizontal="center" vertical="center"/>
    </xf>
    <xf numFmtId="43" fontId="9" fillId="0" borderId="1" xfId="20" applyNumberFormat="1" applyFont="1" applyBorder="1"/>
    <xf numFmtId="164" fontId="72" fillId="4" borderId="1" xfId="6" applyNumberFormat="1" applyFont="1" applyFill="1" applyBorder="1" applyAlignment="1">
      <alignment horizontal="center"/>
    </xf>
    <xf numFmtId="168" fontId="13" fillId="0" borderId="0" xfId="20" applyNumberFormat="1" applyFont="1"/>
    <xf numFmtId="178" fontId="9" fillId="0" borderId="6" xfId="20" applyNumberFormat="1" applyFont="1" applyBorder="1" applyAlignment="1">
      <alignment horizontal="center" vertical="center"/>
    </xf>
    <xf numFmtId="178" fontId="87" fillId="0" borderId="30" xfId="17" applyNumberFormat="1" applyFont="1" applyBorder="1" applyAlignment="1">
      <alignment horizontal="center" vertical="center"/>
    </xf>
    <xf numFmtId="168" fontId="9" fillId="0" borderId="0" xfId="20" applyNumberFormat="1" applyFont="1"/>
    <xf numFmtId="168" fontId="9" fillId="0" borderId="0" xfId="20" applyNumberFormat="1" applyFont="1" applyAlignment="1">
      <alignment horizontal="center" vertical="center"/>
    </xf>
    <xf numFmtId="0" fontId="59" fillId="0" borderId="19" xfId="16" applyFont="1" applyBorder="1" applyAlignment="1">
      <alignment horizontal="center" vertical="center"/>
    </xf>
    <xf numFmtId="0" fontId="59" fillId="0" borderId="8" xfId="16" applyFont="1" applyBorder="1" applyAlignment="1">
      <alignment horizontal="center" vertical="center"/>
    </xf>
    <xf numFmtId="0" fontId="57" fillId="0" borderId="13" xfId="16" applyFont="1" applyBorder="1"/>
    <xf numFmtId="0" fontId="59" fillId="0" borderId="14" xfId="16" applyFont="1" applyBorder="1" applyAlignment="1">
      <alignment horizontal="center" vertical="center"/>
    </xf>
    <xf numFmtId="179" fontId="59" fillId="0" borderId="17" xfId="16" applyNumberFormat="1" applyFont="1" applyBorder="1" applyAlignment="1">
      <alignment horizontal="center" vertical="center"/>
    </xf>
    <xf numFmtId="0" fontId="59" fillId="0" borderId="17" xfId="16" applyFont="1" applyBorder="1" applyAlignment="1">
      <alignment horizontal="center" vertical="center"/>
    </xf>
    <xf numFmtId="0" fontId="52" fillId="0" borderId="13" xfId="14" applyFill="1" applyBorder="1"/>
    <xf numFmtId="0" fontId="57" fillId="0" borderId="12" xfId="16" applyFont="1" applyBorder="1"/>
    <xf numFmtId="0" fontId="7" fillId="0" borderId="0" xfId="16" applyAlignment="1">
      <alignment horizontal="left" vertical="center"/>
    </xf>
    <xf numFmtId="0" fontId="14" fillId="0" borderId="0" xfId="4" applyFont="1"/>
    <xf numFmtId="168" fontId="96" fillId="0" borderId="1" xfId="20" applyNumberFormat="1" applyFont="1" applyBorder="1"/>
    <xf numFmtId="0" fontId="97" fillId="0" borderId="0" xfId="20" applyFont="1"/>
    <xf numFmtId="3" fontId="7" fillId="0" borderId="0" xfId="4" applyNumberFormat="1"/>
    <xf numFmtId="0" fontId="7" fillId="0" borderId="0" xfId="4" applyAlignment="1">
      <alignment horizontal="center"/>
    </xf>
    <xf numFmtId="3" fontId="7" fillId="0" borderId="0" xfId="4" applyNumberFormat="1" applyAlignment="1">
      <alignment horizontal="center"/>
    </xf>
    <xf numFmtId="0" fontId="7" fillId="0" borderId="0" xfId="4" applyAlignment="1">
      <alignment horizontal="center" vertical="top" wrapText="1"/>
    </xf>
    <xf numFmtId="0" fontId="7" fillId="0" borderId="1" xfId="4" applyBorder="1" applyAlignment="1">
      <alignment horizontal="center" vertical="center"/>
    </xf>
    <xf numFmtId="3" fontId="7" fillId="0" borderId="1" xfId="4" applyNumberFormat="1" applyBorder="1" applyAlignment="1">
      <alignment horizontal="center" vertical="center"/>
    </xf>
    <xf numFmtId="9" fontId="7" fillId="0" borderId="1" xfId="6" applyFont="1" applyBorder="1" applyAlignment="1">
      <alignment horizontal="center" vertical="center"/>
    </xf>
    <xf numFmtId="3" fontId="9" fillId="0" borderId="1" xfId="4" applyNumberFormat="1" applyFont="1" applyBorder="1" applyAlignment="1">
      <alignment horizontal="center" vertical="center"/>
    </xf>
    <xf numFmtId="0" fontId="83" fillId="0" borderId="0" xfId="17" applyFont="1" applyAlignment="1">
      <alignment horizontal="left" vertical="center"/>
    </xf>
    <xf numFmtId="0" fontId="83" fillId="0" borderId="0" xfId="17" applyFont="1" applyAlignment="1">
      <alignment horizontal="left"/>
    </xf>
    <xf numFmtId="0" fontId="0" fillId="0" borderId="0" xfId="0" applyAlignment="1">
      <alignment vertical="center"/>
    </xf>
    <xf numFmtId="0" fontId="0" fillId="45" borderId="0" xfId="0" applyFill="1"/>
    <xf numFmtId="3" fontId="0" fillId="45" borderId="0" xfId="0" applyNumberFormat="1" applyFill="1" applyAlignment="1">
      <alignment horizontal="center"/>
    </xf>
    <xf numFmtId="0" fontId="101" fillId="45" borderId="0" xfId="0" applyFont="1" applyFill="1" applyAlignment="1">
      <alignment horizontal="center"/>
    </xf>
    <xf numFmtId="168" fontId="22" fillId="28" borderId="1" xfId="24" applyNumberFormat="1" applyFont="1" applyFill="1" applyBorder="1" applyAlignment="1">
      <alignment horizontal="center" vertical="center" wrapText="1"/>
    </xf>
    <xf numFmtId="209" fontId="0" fillId="45" borderId="0" xfId="0" applyNumberFormat="1" applyFill="1" applyAlignment="1">
      <alignment horizontal="center"/>
    </xf>
    <xf numFmtId="209" fontId="0" fillId="0" borderId="0" xfId="0" applyNumberFormat="1"/>
    <xf numFmtId="0" fontId="101" fillId="45" borderId="0" xfId="0" applyFont="1" applyFill="1"/>
    <xf numFmtId="0" fontId="101" fillId="0" borderId="0" xfId="0" applyFont="1"/>
    <xf numFmtId="3" fontId="101" fillId="45" borderId="0" xfId="0" applyNumberFormat="1" applyFont="1" applyFill="1" applyAlignment="1">
      <alignment horizontal="center"/>
    </xf>
    <xf numFmtId="1" fontId="22" fillId="45" borderId="0" xfId="0" applyNumberFormat="1" applyFont="1" applyFill="1" applyAlignment="1">
      <alignment horizontal="center"/>
    </xf>
    <xf numFmtId="0" fontId="22" fillId="0" borderId="0" xfId="0" applyFont="1"/>
    <xf numFmtId="170" fontId="0" fillId="45" borderId="0" xfId="0" applyNumberFormat="1" applyFill="1" applyAlignment="1">
      <alignment horizontal="center"/>
    </xf>
    <xf numFmtId="1" fontId="93" fillId="0" borderId="0" xfId="0" applyNumberFormat="1" applyFont="1" applyAlignment="1">
      <alignment horizontal="center"/>
    </xf>
    <xf numFmtId="0" fontId="102" fillId="45" borderId="0" xfId="0" applyFont="1" applyFill="1" applyAlignment="1">
      <alignment horizontal="center"/>
    </xf>
    <xf numFmtId="0" fontId="105" fillId="0" borderId="0" xfId="0" applyFont="1"/>
    <xf numFmtId="1" fontId="101" fillId="45" borderId="0" xfId="0" applyNumberFormat="1" applyFont="1" applyFill="1" applyAlignment="1">
      <alignment horizontal="center"/>
    </xf>
    <xf numFmtId="3" fontId="0" fillId="0" borderId="0" xfId="0" applyNumberFormat="1"/>
    <xf numFmtId="0" fontId="106" fillId="0" borderId="14" xfId="16" applyFont="1" applyBorder="1" applyAlignment="1">
      <alignment horizontal="center" vertical="center"/>
    </xf>
    <xf numFmtId="0" fontId="6" fillId="0" borderId="1" xfId="25" quotePrefix="1" applyBorder="1" applyAlignment="1">
      <alignment horizontal="left" vertical="center"/>
    </xf>
    <xf numFmtId="43" fontId="0" fillId="0" borderId="1" xfId="24" quotePrefix="1" applyFont="1" applyBorder="1" applyAlignment="1">
      <alignment horizontal="left" vertical="center"/>
    </xf>
    <xf numFmtId="0" fontId="7" fillId="15" borderId="0" xfId="4" applyFill="1" applyAlignment="1">
      <alignment horizontal="center" vertical="center"/>
    </xf>
    <xf numFmtId="2" fontId="7" fillId="15" borderId="0" xfId="4" applyNumberFormat="1" applyFill="1" applyAlignment="1">
      <alignment horizontal="center" vertical="center"/>
    </xf>
    <xf numFmtId="164" fontId="7" fillId="15" borderId="0" xfId="3" applyNumberFormat="1" applyFont="1" applyFill="1" applyAlignment="1">
      <alignment horizontal="center" vertical="center"/>
    </xf>
    <xf numFmtId="3" fontId="9" fillId="0" borderId="0" xfId="4" applyNumberFormat="1" applyFont="1" applyAlignment="1">
      <alignment horizontal="center"/>
    </xf>
    <xf numFmtId="2" fontId="48" fillId="27" borderId="20" xfId="15" applyNumberFormat="1" applyFont="1" applyFill="1" applyBorder="1"/>
    <xf numFmtId="2" fontId="45" fillId="26" borderId="0" xfId="15" applyNumberFormat="1" applyFont="1" applyFill="1"/>
    <xf numFmtId="2" fontId="48" fillId="27" borderId="18" xfId="15" applyNumberFormat="1" applyFont="1" applyFill="1" applyBorder="1" applyAlignment="1">
      <alignment horizontal="center" vertical="center"/>
    </xf>
    <xf numFmtId="2" fontId="45" fillId="26" borderId="8" xfId="15" applyNumberFormat="1" applyFont="1" applyFill="1" applyBorder="1" applyAlignment="1">
      <alignment horizontal="center" vertical="center"/>
    </xf>
    <xf numFmtId="2" fontId="45" fillId="26" borderId="17" xfId="15" applyNumberFormat="1" applyFont="1" applyFill="1" applyBorder="1" applyAlignment="1">
      <alignment horizontal="center" vertical="center"/>
    </xf>
    <xf numFmtId="2" fontId="45" fillId="26" borderId="0" xfId="15" applyNumberFormat="1" applyFont="1" applyFill="1" applyAlignment="1">
      <alignment horizontal="center" vertical="center"/>
    </xf>
    <xf numFmtId="2" fontId="45" fillId="20" borderId="8" xfId="15" applyNumberFormat="1" applyFont="1" applyFill="1" applyBorder="1" applyAlignment="1">
      <alignment vertical="center"/>
    </xf>
    <xf numFmtId="2" fontId="45" fillId="26" borderId="8" xfId="15" applyNumberFormat="1" applyFont="1" applyFill="1" applyBorder="1" applyAlignment="1">
      <alignment vertical="center"/>
    </xf>
    <xf numFmtId="2" fontId="45" fillId="20" borderId="17" xfId="15" applyNumberFormat="1" applyFont="1" applyFill="1" applyBorder="1" applyAlignment="1">
      <alignment vertical="center"/>
    </xf>
    <xf numFmtId="2" fontId="45" fillId="26" borderId="17" xfId="15" applyNumberFormat="1" applyFont="1" applyFill="1" applyBorder="1" applyAlignment="1">
      <alignment vertical="center"/>
    </xf>
    <xf numFmtId="2" fontId="12" fillId="0" borderId="0" xfId="15" applyNumberFormat="1" applyFont="1"/>
    <xf numFmtId="2" fontId="7" fillId="0" borderId="0" xfId="16" applyNumberFormat="1" applyAlignment="1">
      <alignment horizontal="center" vertical="center"/>
    </xf>
    <xf numFmtId="2" fontId="58" fillId="27" borderId="18" xfId="16" applyNumberFormat="1" applyFont="1" applyFill="1" applyBorder="1" applyAlignment="1">
      <alignment horizontal="center" vertical="center"/>
    </xf>
    <xf numFmtId="2" fontId="59" fillId="0" borderId="19" xfId="16" applyNumberFormat="1" applyFont="1" applyBorder="1" applyAlignment="1">
      <alignment horizontal="center" vertical="center"/>
    </xf>
    <xf numFmtId="2" fontId="106" fillId="0" borderId="19" xfId="16" applyNumberFormat="1" applyFont="1" applyBorder="1" applyAlignment="1">
      <alignment horizontal="center" vertical="center"/>
    </xf>
    <xf numFmtId="2" fontId="59" fillId="0" borderId="14" xfId="16" applyNumberFormat="1" applyFont="1" applyBorder="1" applyAlignment="1">
      <alignment horizontal="center" vertical="center" wrapText="1"/>
    </xf>
    <xf numFmtId="2" fontId="59" fillId="0" borderId="14" xfId="16" applyNumberFormat="1" applyFont="1" applyBorder="1" applyAlignment="1">
      <alignment horizontal="center" vertical="center"/>
    </xf>
    <xf numFmtId="2" fontId="59" fillId="26" borderId="14" xfId="16" applyNumberFormat="1" applyFont="1" applyFill="1" applyBorder="1" applyAlignment="1">
      <alignment horizontal="center" vertical="center"/>
    </xf>
    <xf numFmtId="2" fontId="61" fillId="0" borderId="0" xfId="16" applyNumberFormat="1" applyFont="1" applyAlignment="1">
      <alignment horizontal="center" vertical="center"/>
    </xf>
    <xf numFmtId="2" fontId="59" fillId="26" borderId="0" xfId="16" applyNumberFormat="1" applyFont="1" applyFill="1" applyAlignment="1">
      <alignment horizontal="center" vertical="center"/>
    </xf>
    <xf numFmtId="2" fontId="59" fillId="0" borderId="8" xfId="16" applyNumberFormat="1" applyFont="1" applyBorder="1" applyAlignment="1">
      <alignment horizontal="center" vertical="center"/>
    </xf>
    <xf numFmtId="2" fontId="59" fillId="0" borderId="17" xfId="16" applyNumberFormat="1" applyFont="1" applyBorder="1" applyAlignment="1">
      <alignment horizontal="center" vertical="center"/>
    </xf>
    <xf numFmtId="2" fontId="24" fillId="0" borderId="8" xfId="16" applyNumberFormat="1" applyFont="1" applyBorder="1" applyAlignment="1">
      <alignment horizontal="center" vertical="center"/>
    </xf>
    <xf numFmtId="2" fontId="59" fillId="26" borderId="17" xfId="16" applyNumberFormat="1" applyFont="1" applyFill="1" applyBorder="1" applyAlignment="1">
      <alignment horizontal="center" vertical="center"/>
    </xf>
    <xf numFmtId="2" fontId="59" fillId="20" borderId="8" xfId="16" applyNumberFormat="1" applyFont="1" applyFill="1" applyBorder="1" applyAlignment="1">
      <alignment horizontal="center" vertical="center"/>
    </xf>
    <xf numFmtId="2" fontId="13" fillId="15" borderId="1" xfId="19" applyNumberFormat="1" applyFont="1" applyFill="1" applyBorder="1" applyAlignment="1">
      <alignment horizontal="center" vertical="center" wrapText="1"/>
    </xf>
    <xf numFmtId="0" fontId="37" fillId="0" borderId="0" xfId="4" applyFont="1" applyAlignment="1">
      <alignment horizontal="center" vertical="center"/>
    </xf>
    <xf numFmtId="164" fontId="23" fillId="4" borderId="0" xfId="18" applyNumberFormat="1" applyFont="1" applyFill="1" applyAlignment="1">
      <alignment horizontal="center" vertical="center"/>
    </xf>
    <xf numFmtId="0" fontId="102" fillId="0" borderId="0" xfId="0" applyFont="1"/>
    <xf numFmtId="0" fontId="100" fillId="43" borderId="1" xfId="0" applyFont="1" applyFill="1" applyBorder="1" applyAlignment="1">
      <alignment horizontal="center" vertical="center" wrapText="1"/>
    </xf>
    <xf numFmtId="0" fontId="62" fillId="42" borderId="1" xfId="27" applyFont="1" applyBorder="1" applyAlignment="1">
      <alignment horizontal="center" vertical="center" wrapText="1"/>
    </xf>
    <xf numFmtId="0" fontId="62" fillId="42" borderId="11" xfId="27" applyFont="1" applyBorder="1" applyAlignment="1">
      <alignment horizontal="center" vertical="center" wrapText="1"/>
    </xf>
    <xf numFmtId="0" fontId="0" fillId="44" borderId="4" xfId="0" applyFill="1" applyBorder="1" applyAlignment="1">
      <alignment horizontal="center" vertical="center" wrapText="1"/>
    </xf>
    <xf numFmtId="0" fontId="0" fillId="44" borderId="5" xfId="0" applyFill="1" applyBorder="1" applyAlignment="1">
      <alignment horizontal="center" vertical="center" wrapText="1"/>
    </xf>
    <xf numFmtId="1" fontId="0" fillId="45" borderId="0" xfId="0" applyNumberFormat="1" applyFill="1" applyAlignment="1">
      <alignment horizontal="center"/>
    </xf>
    <xf numFmtId="0" fontId="110" fillId="46" borderId="0" xfId="0" applyFont="1" applyFill="1"/>
    <xf numFmtId="1" fontId="21" fillId="0" borderId="0" xfId="0" applyNumberFormat="1" applyFont="1"/>
    <xf numFmtId="10" fontId="23" fillId="0" borderId="0" xfId="0" applyNumberFormat="1" applyFont="1"/>
    <xf numFmtId="210" fontId="7" fillId="0" borderId="1" xfId="20" applyNumberFormat="1" applyBorder="1" applyAlignment="1">
      <alignment horizontal="center" vertical="center"/>
    </xf>
    <xf numFmtId="0" fontId="100" fillId="43" borderId="0" xfId="0" applyFont="1" applyFill="1" applyAlignment="1">
      <alignment horizontal="center" vertical="center" wrapText="1"/>
    </xf>
    <xf numFmtId="0" fontId="111" fillId="0" borderId="0" xfId="0" applyFont="1" applyAlignment="1">
      <alignment horizontal="left" vertical="center"/>
    </xf>
    <xf numFmtId="0" fontId="111" fillId="0" borderId="0" xfId="0" applyFont="1" applyAlignment="1">
      <alignment horizontal="center" vertical="center"/>
    </xf>
    <xf numFmtId="0" fontId="112" fillId="0" borderId="0" xfId="0" applyFont="1" applyAlignment="1">
      <alignment horizontal="center" vertical="center"/>
    </xf>
    <xf numFmtId="10" fontId="112" fillId="0" borderId="0" xfId="0" applyNumberFormat="1" applyFont="1" applyAlignment="1">
      <alignment horizontal="center" vertical="center"/>
    </xf>
    <xf numFmtId="0" fontId="111" fillId="0" borderId="0" xfId="0" applyFont="1" applyAlignment="1">
      <alignment horizontal="left"/>
    </xf>
    <xf numFmtId="10" fontId="111" fillId="0" borderId="0" xfId="0" applyNumberFormat="1" applyFont="1" applyAlignment="1">
      <alignment horizontal="center" vertical="center"/>
    </xf>
    <xf numFmtId="0" fontId="100" fillId="47" borderId="0" xfId="0" applyFont="1" applyFill="1" applyAlignment="1">
      <alignment horizontal="center" vertical="center" wrapText="1"/>
    </xf>
    <xf numFmtId="1" fontId="23" fillId="0" borderId="0" xfId="0" applyNumberFormat="1" applyFont="1"/>
    <xf numFmtId="2" fontId="13" fillId="0" borderId="1" xfId="19" applyNumberFormat="1" applyFont="1" applyBorder="1" applyAlignment="1">
      <alignment horizontal="center" vertical="center" wrapText="1"/>
    </xf>
    <xf numFmtId="0" fontId="7" fillId="0" borderId="1" xfId="20" applyBorder="1"/>
    <xf numFmtId="168" fontId="7" fillId="0" borderId="1" xfId="2" applyNumberFormat="1" applyFont="1" applyBorder="1"/>
    <xf numFmtId="2" fontId="7" fillId="0" borderId="1" xfId="3" applyNumberFormat="1" applyFont="1" applyBorder="1"/>
    <xf numFmtId="3" fontId="9" fillId="10" borderId="1" xfId="19" applyNumberFormat="1" applyFont="1" applyFill="1" applyBorder="1" applyAlignment="1">
      <alignment horizontal="center" vertical="center" wrapText="1"/>
    </xf>
    <xf numFmtId="2" fontId="9" fillId="0" borderId="1" xfId="20" applyNumberFormat="1" applyFont="1" applyBorder="1" applyAlignment="1">
      <alignment horizontal="center"/>
    </xf>
    <xf numFmtId="3" fontId="7" fillId="0" borderId="0" xfId="20" applyNumberFormat="1" applyAlignment="1">
      <alignment horizontal="center" vertical="center"/>
    </xf>
    <xf numFmtId="211" fontId="7" fillId="0" borderId="0" xfId="4" applyNumberFormat="1" applyAlignment="1">
      <alignment horizontal="center" vertical="center"/>
    </xf>
    <xf numFmtId="0" fontId="14" fillId="4" borderId="36" xfId="4" applyFont="1" applyFill="1" applyBorder="1" applyAlignment="1">
      <alignment horizontal="left" vertical="center" wrapText="1"/>
    </xf>
    <xf numFmtId="168" fontId="34" fillId="0" borderId="1" xfId="2" applyNumberFormat="1" applyFont="1" applyBorder="1" applyAlignment="1">
      <alignment horizontal="center" vertical="center"/>
    </xf>
    <xf numFmtId="3" fontId="0" fillId="48" borderId="1" xfId="0" applyNumberFormat="1" applyFill="1" applyBorder="1" applyAlignment="1">
      <alignment horizontal="center" vertical="center"/>
    </xf>
    <xf numFmtId="0" fontId="113" fillId="0" borderId="0" xfId="4" applyFont="1"/>
    <xf numFmtId="212" fontId="7" fillId="0" borderId="0" xfId="4" applyNumberFormat="1"/>
    <xf numFmtId="180" fontId="7" fillId="0" borderId="0" xfId="4" applyNumberFormat="1"/>
    <xf numFmtId="180" fontId="7" fillId="15" borderId="0" xfId="4" applyNumberFormat="1" applyFill="1" applyAlignment="1">
      <alignment horizontal="center" vertical="center"/>
    </xf>
    <xf numFmtId="2" fontId="59" fillId="20" borderId="17" xfId="16" applyNumberFormat="1" applyFont="1" applyFill="1" applyBorder="1" applyAlignment="1">
      <alignment horizontal="center" vertical="center"/>
    </xf>
    <xf numFmtId="0" fontId="59" fillId="0" borderId="0" xfId="16" applyFont="1" applyAlignment="1">
      <alignment horizontal="center" vertical="center" wrapText="1"/>
    </xf>
    <xf numFmtId="0" fontId="59" fillId="0" borderId="0" xfId="16" applyFont="1" applyAlignment="1">
      <alignment horizontal="center" vertical="center"/>
    </xf>
    <xf numFmtId="0" fontId="3" fillId="0" borderId="0" xfId="1" applyFill="1" applyBorder="1" applyAlignment="1">
      <alignment horizontal="left" vertical="center"/>
    </xf>
    <xf numFmtId="2" fontId="59" fillId="20" borderId="1" xfId="16" applyNumberFormat="1" applyFont="1" applyFill="1" applyBorder="1" applyAlignment="1">
      <alignment horizontal="center" vertical="center"/>
    </xf>
    <xf numFmtId="168" fontId="116" fillId="49" borderId="1" xfId="20" applyNumberFormat="1" applyFont="1" applyFill="1" applyBorder="1" applyAlignment="1">
      <alignment horizontal="center" vertical="center"/>
    </xf>
    <xf numFmtId="43" fontId="116" fillId="49" borderId="1" xfId="20" applyNumberFormat="1" applyFont="1" applyFill="1" applyBorder="1" applyAlignment="1">
      <alignment horizontal="center" vertical="center"/>
    </xf>
    <xf numFmtId="178" fontId="116" fillId="49" borderId="1" xfId="20" applyNumberFormat="1" applyFont="1" applyFill="1" applyBorder="1" applyAlignment="1">
      <alignment horizontal="center" vertical="center"/>
    </xf>
    <xf numFmtId="0" fontId="7" fillId="46" borderId="0" xfId="0" applyFont="1" applyFill="1"/>
    <xf numFmtId="3" fontId="110" fillId="46" borderId="0" xfId="0" applyNumberFormat="1" applyFont="1" applyFill="1" applyAlignment="1">
      <alignment horizontal="center"/>
    </xf>
    <xf numFmtId="0" fontId="110" fillId="46" borderId="0" xfId="0" applyFont="1" applyFill="1" applyAlignment="1">
      <alignment horizontal="center"/>
    </xf>
    <xf numFmtId="168" fontId="116" fillId="49" borderId="9" xfId="20" applyNumberFormat="1" applyFont="1" applyFill="1" applyBorder="1" applyAlignment="1">
      <alignment horizontal="center" vertical="center"/>
    </xf>
    <xf numFmtId="210" fontId="116" fillId="49" borderId="1" xfId="20" applyNumberFormat="1" applyFont="1" applyFill="1" applyBorder="1" applyAlignment="1">
      <alignment horizontal="center" vertical="center"/>
    </xf>
    <xf numFmtId="0" fontId="101" fillId="45" borderId="0" xfId="0" applyFont="1" applyFill="1" applyAlignment="1">
      <alignment horizontal="center" vertical="center"/>
    </xf>
    <xf numFmtId="1" fontId="101" fillId="45" borderId="0" xfId="0" applyNumberFormat="1" applyFont="1" applyFill="1" applyAlignment="1">
      <alignment horizontal="center" vertical="center"/>
    </xf>
    <xf numFmtId="3" fontId="101" fillId="45" borderId="0" xfId="0" applyNumberFormat="1" applyFont="1" applyFill="1" applyAlignment="1">
      <alignment horizontal="center" vertical="center"/>
    </xf>
    <xf numFmtId="1" fontId="119" fillId="49" borderId="1" xfId="19" applyNumberFormat="1" applyFont="1" applyFill="1" applyBorder="1" applyAlignment="1">
      <alignment horizontal="center" vertical="top" wrapText="1"/>
    </xf>
    <xf numFmtId="3" fontId="119" fillId="49" borderId="1" xfId="19" applyNumberFormat="1" applyFont="1" applyFill="1" applyBorder="1" applyAlignment="1">
      <alignment horizontal="center" vertical="top" wrapText="1"/>
    </xf>
    <xf numFmtId="10" fontId="23" fillId="0" borderId="0" xfId="0" applyNumberFormat="1" applyFont="1" applyAlignment="1">
      <alignment horizontal="right"/>
    </xf>
    <xf numFmtId="168" fontId="86" fillId="0" borderId="0" xfId="21" applyNumberFormat="1" applyFont="1" applyAlignment="1">
      <alignment horizontal="right" vertical="center"/>
    </xf>
    <xf numFmtId="10" fontId="86" fillId="0" borderId="0" xfId="22" applyNumberFormat="1" applyFont="1" applyAlignment="1">
      <alignment horizontal="right" vertical="center"/>
    </xf>
    <xf numFmtId="10" fontId="120" fillId="0" borderId="0" xfId="22" applyNumberFormat="1" applyFont="1" applyAlignment="1">
      <alignment horizontal="right" vertical="center"/>
    </xf>
    <xf numFmtId="10" fontId="86" fillId="0" borderId="0" xfId="22" applyNumberFormat="1" applyFont="1" applyFill="1" applyAlignment="1">
      <alignment horizontal="right" vertical="center"/>
    </xf>
    <xf numFmtId="10" fontId="86" fillId="0" borderId="0" xfId="3" applyNumberFormat="1" applyFont="1" applyAlignment="1">
      <alignment horizontal="right" vertical="center"/>
    </xf>
    <xf numFmtId="2" fontId="13" fillId="25" borderId="1" xfId="19" applyNumberFormat="1" applyFont="1" applyFill="1" applyBorder="1" applyAlignment="1">
      <alignment horizontal="center" vertical="center" wrapText="1"/>
    </xf>
    <xf numFmtId="1" fontId="110" fillId="46" borderId="0" xfId="0" applyNumberFormat="1" applyFont="1" applyFill="1" applyAlignment="1">
      <alignment horizontal="center"/>
    </xf>
    <xf numFmtId="9" fontId="87" fillId="0" borderId="7" xfId="3" applyFont="1" applyBorder="1" applyAlignment="1">
      <alignment horizontal="center" vertical="center"/>
    </xf>
    <xf numFmtId="0" fontId="27" fillId="0" borderId="1" xfId="19" applyFont="1" applyBorder="1" applyAlignment="1">
      <alignment horizontal="center" vertical="center" wrapText="1"/>
    </xf>
    <xf numFmtId="0" fontId="7" fillId="0" borderId="0" xfId="20" applyAlignment="1">
      <alignment horizontal="center" vertical="top" wrapText="1"/>
    </xf>
    <xf numFmtId="164" fontId="7" fillId="0" borderId="0" xfId="3" applyNumberFormat="1" applyFont="1" applyAlignment="1">
      <alignment horizontal="center" vertical="top" wrapText="1"/>
    </xf>
    <xf numFmtId="0" fontId="27" fillId="0" borderId="4" xfId="19" applyFont="1" applyBorder="1" applyAlignment="1">
      <alignment horizontal="center" vertical="center"/>
    </xf>
    <xf numFmtId="0" fontId="27" fillId="0" borderId="11" xfId="19" applyFont="1" applyBorder="1" applyAlignment="1">
      <alignment horizontal="center" vertical="center" wrapText="1"/>
    </xf>
    <xf numFmtId="0" fontId="27" fillId="0" borderId="9" xfId="19" applyFont="1" applyBorder="1" applyAlignment="1">
      <alignment horizontal="center" vertical="center" wrapText="1"/>
    </xf>
    <xf numFmtId="0" fontId="115" fillId="49" borderId="11" xfId="19" applyFont="1" applyFill="1" applyBorder="1" applyAlignment="1">
      <alignment horizontal="center" vertical="center" wrapText="1"/>
    </xf>
    <xf numFmtId="0" fontId="115" fillId="49" borderId="2" xfId="19" applyFont="1" applyFill="1" applyBorder="1" applyAlignment="1">
      <alignment horizontal="center" vertical="center" wrapText="1"/>
    </xf>
    <xf numFmtId="0" fontId="115" fillId="49" borderId="9" xfId="19" applyFont="1" applyFill="1" applyBorder="1" applyAlignment="1">
      <alignment horizontal="center" vertical="center" wrapText="1"/>
    </xf>
    <xf numFmtId="0" fontId="21" fillId="0" borderId="11" xfId="19" applyFont="1" applyBorder="1" applyAlignment="1">
      <alignment horizontal="center" vertical="center"/>
    </xf>
    <xf numFmtId="0" fontId="21" fillId="0" borderId="2" xfId="19" applyFont="1" applyBorder="1" applyAlignment="1">
      <alignment horizontal="center" vertical="center"/>
    </xf>
    <xf numFmtId="0" fontId="21" fillId="0" borderId="9" xfId="19" applyFont="1" applyBorder="1" applyAlignment="1">
      <alignment horizontal="center" vertical="center"/>
    </xf>
    <xf numFmtId="0" fontId="95" fillId="0" borderId="11" xfId="19" applyFont="1" applyBorder="1" applyAlignment="1">
      <alignment horizontal="center" vertical="center" wrapText="1"/>
    </xf>
    <xf numFmtId="0" fontId="95" fillId="0" borderId="9" xfId="19" applyFont="1" applyBorder="1" applyAlignment="1">
      <alignment horizontal="center" vertical="center" wrapText="1"/>
    </xf>
    <xf numFmtId="0" fontId="27" fillId="0" borderId="2" xfId="19" applyFont="1" applyBorder="1" applyAlignment="1">
      <alignment horizontal="center" vertical="center" wrapText="1"/>
    </xf>
    <xf numFmtId="0" fontId="27" fillId="0" borderId="1" xfId="19" applyFont="1" applyBorder="1" applyAlignment="1">
      <alignment horizontal="center" vertical="center"/>
    </xf>
    <xf numFmtId="0" fontId="21" fillId="49" borderId="2" xfId="19" applyFont="1" applyFill="1" applyBorder="1" applyAlignment="1">
      <alignment horizontal="center" vertical="center" wrapText="1"/>
    </xf>
    <xf numFmtId="0" fontId="21" fillId="49" borderId="9" xfId="19" applyFont="1" applyFill="1" applyBorder="1" applyAlignment="1">
      <alignment horizontal="center" vertical="center" wrapText="1"/>
    </xf>
    <xf numFmtId="0" fontId="78" fillId="0" borderId="11" xfId="19" applyBorder="1" applyAlignment="1">
      <alignment horizontal="center" vertical="center" wrapText="1"/>
    </xf>
    <xf numFmtId="0" fontId="78" fillId="0" borderId="2" xfId="19" applyBorder="1" applyAlignment="1">
      <alignment horizontal="center" vertical="center" wrapText="1"/>
    </xf>
    <xf numFmtId="0" fontId="78" fillId="0" borderId="9" xfId="19" applyBorder="1" applyAlignment="1">
      <alignment horizontal="center" vertical="center" wrapText="1"/>
    </xf>
    <xf numFmtId="0" fontId="21" fillId="5" borderId="1" xfId="19" applyFont="1" applyFill="1" applyBorder="1" applyAlignment="1">
      <alignment horizontal="center" vertical="center"/>
    </xf>
    <xf numFmtId="0" fontId="78" fillId="9" borderId="1" xfId="19" applyFill="1" applyBorder="1" applyAlignment="1">
      <alignment horizontal="center" vertical="center" wrapText="1"/>
    </xf>
    <xf numFmtId="0" fontId="78" fillId="15" borderId="1" xfId="19" applyFill="1" applyBorder="1" applyAlignment="1">
      <alignment horizontal="center" vertical="center" wrapText="1"/>
    </xf>
    <xf numFmtId="0" fontId="78" fillId="25" borderId="1" xfId="19" applyFill="1" applyBorder="1" applyAlignment="1">
      <alignment horizontal="center" vertical="center" wrapText="1"/>
    </xf>
    <xf numFmtId="0" fontId="39" fillId="24" borderId="1" xfId="4" applyFont="1" applyFill="1" applyBorder="1" applyAlignment="1">
      <alignment horizontal="center" vertical="center"/>
    </xf>
    <xf numFmtId="0" fontId="38" fillId="0" borderId="4" xfId="4" applyFont="1" applyBorder="1" applyAlignment="1">
      <alignment horizontal="center" vertical="center" wrapText="1"/>
    </xf>
    <xf numFmtId="0" fontId="38" fillId="0" borderId="5" xfId="4" applyFont="1" applyBorder="1" applyAlignment="1">
      <alignment horizontal="center" vertical="center" wrapText="1"/>
    </xf>
    <xf numFmtId="0" fontId="32" fillId="24" borderId="1" xfId="4" applyFont="1" applyFill="1" applyBorder="1" applyAlignment="1">
      <alignment horizontal="center" vertical="center"/>
    </xf>
    <xf numFmtId="0" fontId="41" fillId="0" borderId="3" xfId="4" applyFont="1" applyBorder="1" applyAlignment="1">
      <alignment horizontal="center" wrapText="1"/>
    </xf>
    <xf numFmtId="0" fontId="41" fillId="0" borderId="0" xfId="4" applyFont="1" applyAlignment="1">
      <alignment horizontal="center" wrapText="1"/>
    </xf>
    <xf numFmtId="0" fontId="32" fillId="24" borderId="0" xfId="4" applyFont="1" applyFill="1" applyAlignment="1">
      <alignment horizontal="center" vertical="center" wrapText="1"/>
    </xf>
    <xf numFmtId="0" fontId="32" fillId="24" borderId="21" xfId="4" applyFont="1" applyFill="1" applyBorder="1" applyAlignment="1">
      <alignment horizontal="center" vertical="center" wrapText="1"/>
    </xf>
    <xf numFmtId="0" fontId="38" fillId="0" borderId="44" xfId="4" applyFont="1" applyBorder="1" applyAlignment="1">
      <alignment horizontal="center" vertical="center" wrapText="1"/>
    </xf>
    <xf numFmtId="0" fontId="38" fillId="0" borderId="45" xfId="4" applyFont="1" applyBorder="1" applyAlignment="1">
      <alignment horizontal="center" vertical="center" wrapText="1"/>
    </xf>
    <xf numFmtId="0" fontId="38" fillId="0" borderId="4" xfId="4" applyFont="1" applyBorder="1" applyAlignment="1">
      <alignment horizontal="center" vertical="center"/>
    </xf>
    <xf numFmtId="0" fontId="38" fillId="0" borderId="5" xfId="4" applyFont="1" applyBorder="1" applyAlignment="1">
      <alignment horizontal="center" vertical="center"/>
    </xf>
    <xf numFmtId="0" fontId="100" fillId="43" borderId="0" xfId="0" applyFont="1" applyFill="1" applyAlignment="1">
      <alignment horizontal="center" vertical="center" wrapText="1"/>
    </xf>
    <xf numFmtId="0" fontId="100" fillId="43" borderId="0" xfId="0" applyFont="1" applyFill="1" applyAlignment="1">
      <alignment horizontal="center" vertical="center"/>
    </xf>
    <xf numFmtId="164" fontId="1" fillId="0" borderId="0" xfId="0" applyNumberFormat="1" applyFont="1" applyAlignment="1">
      <alignment horizontal="center" vertical="center" wrapText="1"/>
    </xf>
    <xf numFmtId="164" fontId="1" fillId="0" borderId="0" xfId="0" quotePrefix="1" applyNumberFormat="1" applyFont="1" applyAlignment="1">
      <alignment horizontal="center" vertical="center" wrapText="1"/>
    </xf>
    <xf numFmtId="178" fontId="9" fillId="0" borderId="1" xfId="20" applyNumberFormat="1" applyFont="1" applyBorder="1" applyAlignment="1">
      <alignment horizontal="center" vertical="center"/>
    </xf>
    <xf numFmtId="168" fontId="9" fillId="0" borderId="24" xfId="20" applyNumberFormat="1" applyFont="1" applyBorder="1" applyAlignment="1">
      <alignment horizontal="center" vertical="center"/>
    </xf>
    <xf numFmtId="43" fontId="7" fillId="0" borderId="1" xfId="20" applyNumberFormat="1" applyBorder="1" applyAlignment="1">
      <alignment horizontal="center" vertical="center"/>
    </xf>
  </cellXfs>
  <cellStyles count="28">
    <cellStyle name="Accent1" xfId="27" builtinId="29"/>
    <cellStyle name="Bad" xfId="10" builtinId="27"/>
    <cellStyle name="Comma" xfId="2" builtinId="3"/>
    <cellStyle name="Comma 2" xfId="7" xr:uid="{C17B8E87-E5B3-4881-9B5B-65480997B8A2}"/>
    <cellStyle name="Comma 2 2" xfId="21" xr:uid="{4C2E1FBA-A949-440E-B198-EDD1D01A4204}"/>
    <cellStyle name="Comma 3" xfId="9" xr:uid="{F166F231-F0FF-416A-9FAC-2CE7C9559203}"/>
    <cellStyle name="Comma 3 2" xfId="24" xr:uid="{083A8F19-5F0D-4B61-9284-9CAA67885F9D}"/>
    <cellStyle name="Comma 4" xfId="23" xr:uid="{25D99F6B-6908-4678-AAE4-4D0A691E405C}"/>
    <cellStyle name="Hyperlink" xfId="1" builtinId="8"/>
    <cellStyle name="Hyperlink 2" xfId="14" xr:uid="{CAA9BE13-47E3-4DAB-A75D-68741B6A26F1}"/>
    <cellStyle name="Normal" xfId="0" builtinId="0"/>
    <cellStyle name="Normal 2" xfId="4" xr:uid="{0D00A512-C458-48A1-8157-8016F30BDBCC}"/>
    <cellStyle name="Normal 2 2" xfId="5" xr:uid="{C4D85504-526C-41B7-91AA-DDBF31AC9893}"/>
    <cellStyle name="Normal 2 2 2" xfId="20" xr:uid="{905B7C8A-4A40-4D13-A874-F1D0837C2662}"/>
    <cellStyle name="Normal 2 3" xfId="17" xr:uid="{A4256E6A-1AEA-4275-A612-26AF99FF2D70}"/>
    <cellStyle name="Normal 3" xfId="8" xr:uid="{4CB714A1-8B2C-4D98-A9C8-2393589739F8}"/>
    <cellStyle name="Normal 3 2" xfId="11" xr:uid="{68412E0D-189F-4E35-AFF5-1B8FF7317141}"/>
    <cellStyle name="Normal 4" xfId="13" xr:uid="{851350F8-80B3-4EBF-A187-BE3F825E785B}"/>
    <cellStyle name="Normal 4 2" xfId="15" xr:uid="{D86EF23A-E93E-48B9-80FE-43F5A9BE0DE5}"/>
    <cellStyle name="Normal 4 3" xfId="16" xr:uid="{6A309A61-88CA-4531-A8FE-5507B4CF64C9}"/>
    <cellStyle name="Normal 5" xfId="19" xr:uid="{7A5C33FD-E8EB-4158-96A3-00469E2F4CE2}"/>
    <cellStyle name="Normal 6" xfId="25" xr:uid="{F1BDE82E-FE78-47D1-BA78-8DC6AC3C397B}"/>
    <cellStyle name="Percent" xfId="3" builtinId="5"/>
    <cellStyle name="Percent 2" xfId="6" xr:uid="{DD97004A-15E1-4224-A580-8A2D4ED9347C}"/>
    <cellStyle name="Percent 2 2" xfId="12" xr:uid="{3F6BC054-51AF-4A72-AA45-6BE971D8C372}"/>
    <cellStyle name="Percent 2 3" xfId="22" xr:uid="{8A0F72BA-2F2F-4F3C-8FDB-1BF7DFE44368}"/>
    <cellStyle name="Percent 3" xfId="18" xr:uid="{4B378556-D8B5-41AD-9AFD-322ED373F455}"/>
    <cellStyle name="Percent 5" xfId="26" xr:uid="{49A7D89E-20A4-4851-87F9-638403D86287}"/>
  </cellStyles>
  <dxfs count="69">
    <dxf>
      <font>
        <name val="Verdana"/>
      </font>
    </dxf>
    <dxf>
      <font>
        <name val="Verdana"/>
      </font>
    </dxf>
    <dxf>
      <font>
        <name val="Verdana"/>
      </font>
    </dxf>
    <dxf>
      <font>
        <name val="Verdana"/>
      </font>
    </dxf>
    <dxf>
      <font>
        <name val="Verdana"/>
      </font>
    </dxf>
    <dxf>
      <font>
        <name val="Verdana"/>
      </font>
    </dxf>
    <dxf>
      <font>
        <name val="Verdana"/>
      </font>
      <numFmt numFmtId="2" formatCode="0.00"/>
      <alignment horizontal="center" vertical="center"/>
    </dxf>
    <dxf>
      <font>
        <name val="Verdana"/>
      </font>
      <alignment horizontal="center"/>
    </dxf>
    <dxf>
      <font>
        <name val="Verdana"/>
      </font>
    </dxf>
    <dxf>
      <font>
        <name val="Verdana"/>
      </font>
    </dxf>
    <dxf>
      <font>
        <name val="Verdana"/>
      </font>
    </dxf>
    <dxf>
      <font>
        <name val="Verdana"/>
      </font>
    </dxf>
    <dxf>
      <font>
        <name val="Verdana"/>
      </font>
    </dxf>
    <dxf>
      <font>
        <name val="Verdana"/>
      </font>
      <alignment horizontal="center"/>
    </dxf>
    <dxf>
      <font>
        <name val="Verdana"/>
      </font>
      <alignment horizontal="center"/>
    </dxf>
    <dxf>
      <font>
        <name val="Verdana"/>
      </font>
    </dxf>
    <dxf>
      <font>
        <name val="Verdana"/>
      </font>
      <numFmt numFmtId="2" formatCode="0.00"/>
      <alignment horizontal="general" vertical="center"/>
    </dxf>
    <dxf>
      <font>
        <name val="Verdana"/>
      </font>
      <alignment horizontal="center"/>
    </dxf>
    <dxf>
      <font>
        <name val="Verdana"/>
      </font>
    </dxf>
    <dxf>
      <font>
        <name val="Verdana"/>
      </font>
    </dxf>
    <dxf>
      <font>
        <name val="Verdana"/>
      </font>
    </dxf>
    <dxf>
      <font>
        <name val="Verdana"/>
      </font>
    </dxf>
    <dxf>
      <font>
        <name val="Verdana"/>
      </font>
    </dxf>
    <dxf>
      <font>
        <name val="Verdana"/>
      </font>
      <numFmt numFmtId="2" formatCode="0.00"/>
      <alignment horizontal="center" vertical="center"/>
    </dxf>
    <dxf>
      <font>
        <name val="Verdana"/>
      </font>
      <alignment horizontal="center"/>
    </dxf>
    <dxf>
      <font>
        <name val="Verdana"/>
      </font>
    </dxf>
    <dxf>
      <font>
        <name val="Verdana"/>
      </font>
    </dxf>
    <dxf>
      <font>
        <name val="Verdana"/>
      </font>
    </dxf>
    <dxf>
      <font>
        <name val="Verdana"/>
      </font>
    </dxf>
    <dxf>
      <font>
        <name val="Verdana"/>
      </font>
    </dxf>
    <dxf>
      <font>
        <name val="Verdana"/>
      </font>
      <numFmt numFmtId="2" formatCode="0.00"/>
      <alignment horizontal="center" vertical="center"/>
    </dxf>
    <dxf>
      <font>
        <name val="Verdana"/>
      </font>
      <alignment horizontal="center"/>
    </dxf>
    <dxf>
      <font>
        <name val="Verdana"/>
      </font>
    </dxf>
    <dxf>
      <font>
        <name val="Verdana"/>
      </font>
    </dxf>
    <dxf>
      <font>
        <name val="Verdana"/>
      </font>
    </dxf>
    <dxf>
      <font>
        <name val="Verdana"/>
      </font>
    </dxf>
    <dxf>
      <font>
        <name val="Verdana"/>
      </font>
    </dxf>
    <dxf>
      <font>
        <name val="Verdana"/>
      </font>
      <numFmt numFmtId="2" formatCode="0.00"/>
      <alignment horizontal="center" vertical="center"/>
    </dxf>
    <dxf>
      <font>
        <name val="Verdana"/>
      </font>
      <alignment horizontal="center"/>
    </dxf>
    <dxf>
      <font>
        <name val="Verdana"/>
      </font>
    </dxf>
    <dxf>
      <font>
        <name val="Verdana"/>
      </font>
    </dxf>
    <dxf>
      <font>
        <name val="Verdana"/>
      </font>
    </dxf>
    <dxf>
      <font>
        <name val="Verdana"/>
      </font>
    </dxf>
    <dxf>
      <font>
        <b val="0"/>
        <i val="0"/>
        <strike val="0"/>
        <condense val="0"/>
        <extend val="0"/>
        <outline val="0"/>
        <shadow val="0"/>
        <u val="none"/>
        <vertAlign val="baseline"/>
        <sz val="10"/>
        <color rgb="FF000000"/>
        <name val="Arial"/>
        <family val="2"/>
        <scheme val="none"/>
      </font>
      <numFmt numFmtId="179" formatCode="_-* #,##0.00_-;\-* #,##0.00_-;_-* &quot;-&quot;??_-;_-@"/>
      <fill>
        <patternFill patternType="solid">
          <fgColor rgb="FFFFFFFF"/>
          <bgColor rgb="FFFFFFFF"/>
        </patternFill>
      </fill>
      <alignment horizontal="center" vertical="center" textRotation="0" indent="0" justifyLastLine="0" shrinkToFit="0" readingOrder="0"/>
      <border diagonalUp="0" diagonalDown="0" outline="0">
        <left style="thin">
          <color rgb="FF262626"/>
        </left>
        <right style="thin">
          <color rgb="FF262626"/>
        </right>
        <top style="thin">
          <color rgb="FF262626"/>
        </top>
        <bottom/>
      </border>
    </dxf>
    <dxf>
      <font>
        <color rgb="FF000000"/>
        <name val="Arial"/>
      </font>
      <numFmt numFmtId="2" formatCode="0.00"/>
      <alignment horizontal="center" vertical="center" textRotation="0" indent="0" justifyLastLine="0" shrinkToFit="0" readingOrder="0"/>
    </dxf>
    <dxf>
      <font>
        <b val="0"/>
        <i val="0"/>
        <strike val="0"/>
        <condense val="0"/>
        <extend val="0"/>
        <outline val="0"/>
        <shadow val="0"/>
        <u val="none"/>
        <vertAlign val="baseline"/>
        <sz val="10"/>
        <color rgb="FF000000"/>
        <name val="Arial"/>
        <family val="2"/>
        <scheme val="none"/>
      </font>
      <fill>
        <patternFill patternType="solid">
          <fgColor rgb="FFFFFFFF"/>
          <bgColor rgb="FFFFFF00"/>
        </patternFill>
      </fill>
      <alignment horizontal="center" vertical="center" textRotation="0" indent="0" justifyLastLine="0" shrinkToFit="0" readingOrder="0"/>
      <border diagonalUp="0" diagonalDown="0" outline="0">
        <left style="thin">
          <color rgb="FF262626"/>
        </left>
        <right style="thin">
          <color rgb="FF262626"/>
        </right>
        <top style="thin">
          <color rgb="FF262626"/>
        </top>
        <bottom style="thin">
          <color rgb="FF262626"/>
        </bottom>
      </border>
    </dxf>
    <dxf>
      <font>
        <b val="0"/>
        <i val="0"/>
        <strike val="0"/>
        <condense val="0"/>
        <extend val="0"/>
        <outline val="0"/>
        <shadow val="0"/>
        <u val="none"/>
        <vertAlign val="baseline"/>
        <sz val="10"/>
        <color rgb="FF000000"/>
        <name val="Arial"/>
        <family val="2"/>
        <scheme val="none"/>
      </font>
      <numFmt numFmtId="2" formatCode="0.00"/>
      <fill>
        <patternFill patternType="solid">
          <fgColor rgb="FFFFFFFF"/>
          <bgColor rgb="FFFFFFFF"/>
        </patternFill>
      </fill>
      <alignment horizontal="center" vertical="center" textRotation="0" indent="0" justifyLastLine="0" shrinkToFit="0" readingOrder="0"/>
      <border diagonalUp="0" diagonalDown="0" outline="0">
        <left/>
        <right style="thin">
          <color rgb="FF262626"/>
        </right>
        <top style="thin">
          <color rgb="FF262626"/>
        </top>
        <bottom/>
      </border>
    </dxf>
    <dxf>
      <font>
        <color rgb="FF000000"/>
        <name val="Arial"/>
      </font>
      <alignment horizontal="center" vertical="center" textRotation="0" indent="0" justifyLastLine="0" shrinkToFit="0" readingOrder="0"/>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s>
  <tableStyles count="7" defaultTableStyle="TableStyleMedium2" defaultPivotStyle="PivotStyleLight16">
    <tableStyle name="Conversion factors-style" pivot="0" count="3" xr9:uid="{C9FAD236-E03C-4F15-8AEC-43D04F16F3D6}">
      <tableStyleElement type="headerRow" dxfId="68"/>
      <tableStyleElement type="firstRowStripe" dxfId="67"/>
      <tableStyleElement type="secondRowStripe" dxfId="66"/>
    </tableStyle>
    <tableStyle name="Conversion factors-style 2" pivot="0" count="3" xr9:uid="{F281E521-F6CF-4D4F-8307-7335AEC527FA}">
      <tableStyleElement type="headerRow" dxfId="65"/>
      <tableStyleElement type="firstRowStripe" dxfId="64"/>
      <tableStyleElement type="secondRowStripe" dxfId="63"/>
    </tableStyle>
    <tableStyle name="Conversion factors-style 3" pivot="0" count="3" xr9:uid="{127AAC6D-86B3-4CB1-AF46-C83A6C05D295}">
      <tableStyleElement type="headerRow" dxfId="62"/>
      <tableStyleElement type="firstRowStripe" dxfId="61"/>
      <tableStyleElement type="secondRowStripe" dxfId="60"/>
    </tableStyle>
    <tableStyle name="Conversion factors-style 4" pivot="0" count="3" xr9:uid="{39FE512A-45ED-488D-A223-EBAC2E5FFC58}">
      <tableStyleElement type="headerRow" dxfId="59"/>
      <tableStyleElement type="firstRowStripe" dxfId="58"/>
      <tableStyleElement type="secondRowStripe" dxfId="57"/>
    </tableStyle>
    <tableStyle name="Conversion factors-style 5" pivot="0" count="3" xr9:uid="{82D94C22-E99F-407D-808B-AC76FA0A0C35}">
      <tableStyleElement type="headerRow" dxfId="56"/>
      <tableStyleElement type="firstRowStripe" dxfId="55"/>
      <tableStyleElement type="secondRowStripe" dxfId="54"/>
    </tableStyle>
    <tableStyle name="Conversion factors-style 6" pivot="0" count="3" xr9:uid="{3477C0E0-C20D-4868-9CD9-92C783CECD9E}">
      <tableStyleElement type="headerRow" dxfId="53"/>
      <tableStyleElement type="firstRowStripe" dxfId="52"/>
      <tableStyleElement type="secondRowStripe" dxfId="51"/>
    </tableStyle>
    <tableStyle name="Emission factors-style" pivot="0" count="3" xr9:uid="{F36F3DD6-EF74-445D-A962-00286340C5BC}">
      <tableStyleElement type="headerRow" dxfId="50"/>
      <tableStyleElement type="firstRowStripe" dxfId="49"/>
      <tableStyleElement type="secondRowStripe" dxfId="48"/>
    </tableStyle>
  </tableStyles>
  <colors>
    <mruColors>
      <color rgb="FF004F8A"/>
      <color rgb="FF00FFFF"/>
      <color rgb="FFFF66CC"/>
      <color rgb="FFFFFFCC"/>
      <color rgb="FFFFCDCD"/>
      <color rgb="FFCED9FE"/>
      <color rgb="FFFF00FF"/>
      <color rgb="FFA9BDFD"/>
      <color rgb="FF01996E"/>
      <color rgb="FF01AB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microsoft.com/office/2017/06/relationships/rdRichValueTypes" Target="richData/rdRichValueTyp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microsoft.com/office/2017/06/relationships/rdRichValueStructure" Target="richData/rdrichvaluestructure.xml"/><Relationship Id="rId27" Type="http://schemas.openxmlformats.org/officeDocument/2006/relationships/customXml" Target="../customXml/item2.xml"/></Relationships>
</file>

<file path=xl/documenttasks/documenttask1.xml><?xml version="1.0" encoding="utf-8"?>
<Tasks xmlns="http://schemas.microsoft.com/office/tasks/2019/documenttasks">
  <Task id="{49F714E5-DFE6-47BD-B3AD-E22E0B5F9C0B}">
    <Anchor>
      <Comment id="{CB7C8A36-CD11-43B6-8DB1-E8828E17F7D0}"/>
    </Anchor>
    <History>
      <Event time="2024-12-13T17:36:45.83" id="{CE9BED45-DB81-4440-87A1-41BD8E421BA4}">
        <Attribution userId="S::jose.batista@acornbioenergy.com::829ebe7c-bcba-4ebf-ba65-6fd89509d930" userName="Jose Batista" userProvider="AD"/>
        <Anchor>
          <Comment id="{CB7C8A36-CD11-43B6-8DB1-E8828E17F7D0}"/>
        </Anchor>
        <Create/>
      </Event>
      <Event time="2024-12-13T17:36:45.83" id="{45FD3030-3981-4659-A818-64A36852B6BA}">
        <Attribution userId="S::jose.batista@acornbioenergy.com::829ebe7c-bcba-4ebf-ba65-6fd89509d930" userName="Jose Batista" userProvider="AD"/>
        <Anchor>
          <Comment id="{CB7C8A36-CD11-43B6-8DB1-E8828E17F7D0}"/>
        </Anchor>
        <Assign userId="S::jose.batista@acornbioenergy.com::829ebe7c-bcba-4ebf-ba65-6fd89509d930" userName="Jose Batista" userProvider="AD"/>
      </Event>
      <Event time="2024-12-13T17:36:45.83" id="{AB49F2AE-5A17-4355-9E6E-F32B8B6C9D3D}">
        <Attribution userId="S::jose.batista@acornbioenergy.com::829ebe7c-bcba-4ebf-ba65-6fd89509d930" userName="Jose Batista" userProvider="AD"/>
        <Anchor>
          <Comment id="{CB7C8A36-CD11-43B6-8DB1-E8828E17F7D0}"/>
        </Anchor>
        <SetTitle title="@Jose Batista this value has been hard coded. Check "/>
      </Event>
    </History>
  </Task>
</Tasks>
</file>

<file path=xl/drawings/drawing1.xml><?xml version="1.0" encoding="utf-8"?>
<xdr:wsDr xmlns:xdr="http://schemas.openxmlformats.org/drawingml/2006/spreadsheetDrawing" xmlns:a="http://schemas.openxmlformats.org/drawingml/2006/main">
  <xdr:twoCellAnchor>
    <xdr:from>
      <xdr:col>1</xdr:col>
      <xdr:colOff>0</xdr:colOff>
      <xdr:row>7</xdr:row>
      <xdr:rowOff>239031</xdr:rowOff>
    </xdr:from>
    <xdr:to>
      <xdr:col>3</xdr:col>
      <xdr:colOff>413</xdr:colOff>
      <xdr:row>10</xdr:row>
      <xdr:rowOff>244928</xdr:rowOff>
    </xdr:to>
    <xdr:sp macro="" textlink="">
      <xdr:nvSpPr>
        <xdr:cNvPr id="27" name="Flowchart: Process 2">
          <a:extLst>
            <a:ext uri="{FF2B5EF4-FFF2-40B4-BE49-F238E27FC236}">
              <a16:creationId xmlns:a16="http://schemas.microsoft.com/office/drawing/2014/main" id="{76140E4F-F274-42C6-A213-703302B4BD2C}"/>
            </a:ext>
            <a:ext uri="{147F2762-F138-4A5C-976F-8EAC2B608ADB}">
              <a16:predDERef xmlns:a16="http://schemas.microsoft.com/office/drawing/2014/main" pred="{550CF225-A4AF-4CD2-BA1F-ED94B55F5AB6}"/>
            </a:ext>
          </a:extLst>
        </xdr:cNvPr>
        <xdr:cNvSpPr/>
      </xdr:nvSpPr>
      <xdr:spPr>
        <a:xfrm>
          <a:off x="621196" y="2491901"/>
          <a:ext cx="1449869" cy="726484"/>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a:t>Digester</a:t>
          </a:r>
          <a:endParaRPr lang="en-GB" sz="1400"/>
        </a:p>
      </xdr:txBody>
    </xdr:sp>
    <xdr:clientData/>
  </xdr:twoCellAnchor>
  <xdr:twoCellAnchor>
    <xdr:from>
      <xdr:col>4</xdr:col>
      <xdr:colOff>1312334</xdr:colOff>
      <xdr:row>7</xdr:row>
      <xdr:rowOff>10584</xdr:rowOff>
    </xdr:from>
    <xdr:to>
      <xdr:col>9</xdr:col>
      <xdr:colOff>285750</xdr:colOff>
      <xdr:row>7</xdr:row>
      <xdr:rowOff>31750</xdr:rowOff>
    </xdr:to>
    <xdr:cxnSp macro="">
      <xdr:nvCxnSpPr>
        <xdr:cNvPr id="4" name="Straight Arrow Connector 3">
          <a:extLst>
            <a:ext uri="{FF2B5EF4-FFF2-40B4-BE49-F238E27FC236}">
              <a16:creationId xmlns:a16="http://schemas.microsoft.com/office/drawing/2014/main" id="{67750260-8C87-456E-8D12-3CF093DA4FB9}"/>
            </a:ext>
          </a:extLst>
        </xdr:cNvPr>
        <xdr:cNvCxnSpPr/>
      </xdr:nvCxnSpPr>
      <xdr:spPr>
        <a:xfrm flipV="1">
          <a:off x="22886459" y="2296584"/>
          <a:ext cx="4669366" cy="21166"/>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7408</xdr:colOff>
      <xdr:row>9</xdr:row>
      <xdr:rowOff>0</xdr:rowOff>
    </xdr:from>
    <xdr:to>
      <xdr:col>14</xdr:col>
      <xdr:colOff>603250</xdr:colOff>
      <xdr:row>26</xdr:row>
      <xdr:rowOff>31750</xdr:rowOff>
    </xdr:to>
    <xdr:cxnSp macro="">
      <xdr:nvCxnSpPr>
        <xdr:cNvPr id="5" name="Straight Arrow Connector 4">
          <a:extLst>
            <a:ext uri="{FF2B5EF4-FFF2-40B4-BE49-F238E27FC236}">
              <a16:creationId xmlns:a16="http://schemas.microsoft.com/office/drawing/2014/main" id="{B49DCF16-566F-471B-B2E8-6BE5171E6B6E}"/>
            </a:ext>
          </a:extLst>
        </xdr:cNvPr>
        <xdr:cNvCxnSpPr>
          <a:cxnSpLocks/>
        </xdr:cNvCxnSpPr>
      </xdr:nvCxnSpPr>
      <xdr:spPr>
        <a:xfrm>
          <a:off x="31963783" y="2762250"/>
          <a:ext cx="586317" cy="4117975"/>
        </a:xfrm>
        <a:prstGeom prst="straightConnector1">
          <a:avLst/>
        </a:prstGeom>
        <a:ln w="38100">
          <a:solidFill>
            <a:schemeClr val="accent5">
              <a:lumMod val="60000"/>
              <a:lumOff val="40000"/>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9524</xdr:colOff>
      <xdr:row>7</xdr:row>
      <xdr:rowOff>7409</xdr:rowOff>
    </xdr:from>
    <xdr:to>
      <xdr:col>12</xdr:col>
      <xdr:colOff>9524</xdr:colOff>
      <xdr:row>7</xdr:row>
      <xdr:rowOff>7410</xdr:rowOff>
    </xdr:to>
    <xdr:cxnSp macro="">
      <xdr:nvCxnSpPr>
        <xdr:cNvPr id="6" name="Straight Arrow Connector 5">
          <a:extLst>
            <a:ext uri="{FF2B5EF4-FFF2-40B4-BE49-F238E27FC236}">
              <a16:creationId xmlns:a16="http://schemas.microsoft.com/office/drawing/2014/main" id="{FDE78DFF-370B-488B-BE35-0CF6F00EDFB5}"/>
            </a:ext>
          </a:extLst>
        </xdr:cNvPr>
        <xdr:cNvCxnSpPr/>
      </xdr:nvCxnSpPr>
      <xdr:spPr>
        <a:xfrm>
          <a:off x="29108399" y="2293409"/>
          <a:ext cx="876300" cy="1"/>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9525</xdr:colOff>
      <xdr:row>26</xdr:row>
      <xdr:rowOff>15875</xdr:rowOff>
    </xdr:from>
    <xdr:to>
      <xdr:col>16</xdr:col>
      <xdr:colOff>552450</xdr:colOff>
      <xdr:row>26</xdr:row>
      <xdr:rowOff>15875</xdr:rowOff>
    </xdr:to>
    <xdr:cxnSp macro="">
      <xdr:nvCxnSpPr>
        <xdr:cNvPr id="7" name="Straight Arrow Connector 6">
          <a:extLst>
            <a:ext uri="{FF2B5EF4-FFF2-40B4-BE49-F238E27FC236}">
              <a16:creationId xmlns:a16="http://schemas.microsoft.com/office/drawing/2014/main" id="{095DD63B-EA59-4479-8DDE-C8F2AF98472A}"/>
            </a:ext>
          </a:extLst>
        </xdr:cNvPr>
        <xdr:cNvCxnSpPr/>
      </xdr:nvCxnSpPr>
      <xdr:spPr>
        <a:xfrm>
          <a:off x="13725525" y="6530975"/>
          <a:ext cx="542925" cy="0"/>
        </a:xfrm>
        <a:prstGeom prst="straightConnector1">
          <a:avLst/>
        </a:prstGeom>
        <a:ln w="38100">
          <a:solidFill>
            <a:schemeClr val="accent5">
              <a:lumMod val="60000"/>
              <a:lumOff val="40000"/>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14288</xdr:colOff>
      <xdr:row>3</xdr:row>
      <xdr:rowOff>240242</xdr:rowOff>
    </xdr:from>
    <xdr:to>
      <xdr:col>14</xdr:col>
      <xdr:colOff>391583</xdr:colOff>
      <xdr:row>5</xdr:row>
      <xdr:rowOff>228865</xdr:rowOff>
    </xdr:to>
    <xdr:cxnSp macro="">
      <xdr:nvCxnSpPr>
        <xdr:cNvPr id="13" name="Straight Arrow Connector 12">
          <a:extLst>
            <a:ext uri="{FF2B5EF4-FFF2-40B4-BE49-F238E27FC236}">
              <a16:creationId xmlns:a16="http://schemas.microsoft.com/office/drawing/2014/main" id="{DB45900E-26D8-42B5-AC4A-D069912100F4}"/>
            </a:ext>
          </a:extLst>
        </xdr:cNvPr>
        <xdr:cNvCxnSpPr/>
      </xdr:nvCxnSpPr>
      <xdr:spPr>
        <a:xfrm flipV="1">
          <a:off x="31970663" y="1554692"/>
          <a:ext cx="377295" cy="474398"/>
        </a:xfrm>
        <a:prstGeom prst="straightConnector1">
          <a:avLst/>
        </a:prstGeom>
        <a:ln>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1223432</xdr:colOff>
      <xdr:row>9</xdr:row>
      <xdr:rowOff>14818</xdr:rowOff>
    </xdr:from>
    <xdr:to>
      <xdr:col>14</xdr:col>
      <xdr:colOff>623357</xdr:colOff>
      <xdr:row>9</xdr:row>
      <xdr:rowOff>14819</xdr:rowOff>
    </xdr:to>
    <xdr:cxnSp macro="">
      <xdr:nvCxnSpPr>
        <xdr:cNvPr id="15" name="Straight Arrow Connector 14">
          <a:extLst>
            <a:ext uri="{FF2B5EF4-FFF2-40B4-BE49-F238E27FC236}">
              <a16:creationId xmlns:a16="http://schemas.microsoft.com/office/drawing/2014/main" id="{0B6C6026-0E2D-4FBB-8ED2-E301A5C215F3}"/>
            </a:ext>
          </a:extLst>
        </xdr:cNvPr>
        <xdr:cNvCxnSpPr/>
      </xdr:nvCxnSpPr>
      <xdr:spPr>
        <a:xfrm>
          <a:off x="31922507" y="2777068"/>
          <a:ext cx="628650" cy="1"/>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530</xdr:colOff>
      <xdr:row>3</xdr:row>
      <xdr:rowOff>237067</xdr:rowOff>
    </xdr:from>
    <xdr:to>
      <xdr:col>19</xdr:col>
      <xdr:colOff>377825</xdr:colOff>
      <xdr:row>5</xdr:row>
      <xdr:rowOff>235215</xdr:rowOff>
    </xdr:to>
    <xdr:cxnSp macro="">
      <xdr:nvCxnSpPr>
        <xdr:cNvPr id="16" name="Straight Arrow Connector 15">
          <a:extLst>
            <a:ext uri="{FF2B5EF4-FFF2-40B4-BE49-F238E27FC236}">
              <a16:creationId xmlns:a16="http://schemas.microsoft.com/office/drawing/2014/main" id="{27E62E5A-494A-4E98-ACB7-F3B4436423A8}"/>
            </a:ext>
          </a:extLst>
        </xdr:cNvPr>
        <xdr:cNvCxnSpPr/>
      </xdr:nvCxnSpPr>
      <xdr:spPr>
        <a:xfrm flipV="1">
          <a:off x="36262205" y="1551517"/>
          <a:ext cx="377295" cy="483923"/>
        </a:xfrm>
        <a:prstGeom prst="straightConnector1">
          <a:avLst/>
        </a:prstGeom>
        <a:ln>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11113</xdr:colOff>
      <xdr:row>14</xdr:row>
      <xdr:rowOff>17992</xdr:rowOff>
    </xdr:from>
    <xdr:to>
      <xdr:col>14</xdr:col>
      <xdr:colOff>388408</xdr:colOff>
      <xdr:row>15</xdr:row>
      <xdr:rowOff>259557</xdr:rowOff>
    </xdr:to>
    <xdr:cxnSp macro="">
      <xdr:nvCxnSpPr>
        <xdr:cNvPr id="17" name="Straight Arrow Connector 16">
          <a:extLst>
            <a:ext uri="{FF2B5EF4-FFF2-40B4-BE49-F238E27FC236}">
              <a16:creationId xmlns:a16="http://schemas.microsoft.com/office/drawing/2014/main" id="{255EC36F-28FA-41C5-B028-1F70C1DE0380}"/>
            </a:ext>
          </a:extLst>
        </xdr:cNvPr>
        <xdr:cNvCxnSpPr/>
      </xdr:nvCxnSpPr>
      <xdr:spPr>
        <a:xfrm flipV="1">
          <a:off x="31967488" y="3989917"/>
          <a:ext cx="377295" cy="479690"/>
        </a:xfrm>
        <a:prstGeom prst="straightConnector1">
          <a:avLst/>
        </a:prstGeom>
        <a:ln>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11635</xdr:colOff>
      <xdr:row>26</xdr:row>
      <xdr:rowOff>2071</xdr:rowOff>
    </xdr:from>
    <xdr:to>
      <xdr:col>21</xdr:col>
      <xdr:colOff>583135</xdr:colOff>
      <xdr:row>26</xdr:row>
      <xdr:rowOff>2071</xdr:rowOff>
    </xdr:to>
    <xdr:cxnSp macro="">
      <xdr:nvCxnSpPr>
        <xdr:cNvPr id="18" name="Straight Arrow Connector 17">
          <a:extLst>
            <a:ext uri="{FF2B5EF4-FFF2-40B4-BE49-F238E27FC236}">
              <a16:creationId xmlns:a16="http://schemas.microsoft.com/office/drawing/2014/main" id="{987875CB-416D-475F-BEEF-3E20799723BE}"/>
            </a:ext>
          </a:extLst>
        </xdr:cNvPr>
        <xdr:cNvCxnSpPr/>
      </xdr:nvCxnSpPr>
      <xdr:spPr>
        <a:xfrm>
          <a:off x="20221200" y="6738593"/>
          <a:ext cx="571500" cy="0"/>
        </a:xfrm>
        <a:prstGeom prst="straightConnector1">
          <a:avLst/>
        </a:prstGeom>
        <a:ln w="38100">
          <a:solidFill>
            <a:schemeClr val="accent5">
              <a:lumMod val="60000"/>
              <a:lumOff val="40000"/>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10582</xdr:colOff>
      <xdr:row>9</xdr:row>
      <xdr:rowOff>11643</xdr:rowOff>
    </xdr:from>
    <xdr:to>
      <xdr:col>17</xdr:col>
      <xdr:colOff>16931</xdr:colOff>
      <xdr:row>9</xdr:row>
      <xdr:rowOff>11644</xdr:rowOff>
    </xdr:to>
    <xdr:cxnSp macro="">
      <xdr:nvCxnSpPr>
        <xdr:cNvPr id="19" name="Straight Arrow Connector 18">
          <a:extLst>
            <a:ext uri="{FF2B5EF4-FFF2-40B4-BE49-F238E27FC236}">
              <a16:creationId xmlns:a16="http://schemas.microsoft.com/office/drawing/2014/main" id="{AC5935B7-1981-4A50-83E0-098F1BD82540}"/>
            </a:ext>
          </a:extLst>
        </xdr:cNvPr>
        <xdr:cNvCxnSpPr/>
      </xdr:nvCxnSpPr>
      <xdr:spPr>
        <a:xfrm>
          <a:off x="33852907" y="2773893"/>
          <a:ext cx="596899" cy="1"/>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1210732</xdr:colOff>
      <xdr:row>9</xdr:row>
      <xdr:rowOff>9525</xdr:rowOff>
    </xdr:from>
    <xdr:to>
      <xdr:col>20</xdr:col>
      <xdr:colOff>9525</xdr:colOff>
      <xdr:row>9</xdr:row>
      <xdr:rowOff>11643</xdr:rowOff>
    </xdr:to>
    <xdr:cxnSp macro="">
      <xdr:nvCxnSpPr>
        <xdr:cNvPr id="20" name="Straight Arrow Connector 19">
          <a:extLst>
            <a:ext uri="{FF2B5EF4-FFF2-40B4-BE49-F238E27FC236}">
              <a16:creationId xmlns:a16="http://schemas.microsoft.com/office/drawing/2014/main" id="{45B5F6A8-D854-4E00-A4B8-898FB413143F}"/>
            </a:ext>
          </a:extLst>
        </xdr:cNvPr>
        <xdr:cNvCxnSpPr/>
      </xdr:nvCxnSpPr>
      <xdr:spPr>
        <a:xfrm flipV="1">
          <a:off x="181271332" y="2724150"/>
          <a:ext cx="1180043" cy="2118"/>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7407</xdr:colOff>
      <xdr:row>9</xdr:row>
      <xdr:rowOff>8468</xdr:rowOff>
    </xdr:from>
    <xdr:to>
      <xdr:col>16</xdr:col>
      <xdr:colOff>577850</xdr:colOff>
      <xdr:row>16</xdr:row>
      <xdr:rowOff>177800</xdr:rowOff>
    </xdr:to>
    <xdr:cxnSp macro="">
      <xdr:nvCxnSpPr>
        <xdr:cNvPr id="22" name="Straight Arrow Connector 21">
          <a:extLst>
            <a:ext uri="{FF2B5EF4-FFF2-40B4-BE49-F238E27FC236}">
              <a16:creationId xmlns:a16="http://schemas.microsoft.com/office/drawing/2014/main" id="{19B2F036-9777-489D-AC72-F2CE390F9E10}"/>
            </a:ext>
          </a:extLst>
        </xdr:cNvPr>
        <xdr:cNvCxnSpPr/>
      </xdr:nvCxnSpPr>
      <xdr:spPr>
        <a:xfrm>
          <a:off x="14167907" y="2732618"/>
          <a:ext cx="570443" cy="1801282"/>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1174750</xdr:colOff>
      <xdr:row>17</xdr:row>
      <xdr:rowOff>6350</xdr:rowOff>
    </xdr:from>
    <xdr:to>
      <xdr:col>20</xdr:col>
      <xdr:colOff>19050</xdr:colOff>
      <xdr:row>17</xdr:row>
      <xdr:rowOff>9525</xdr:rowOff>
    </xdr:to>
    <xdr:cxnSp macro="">
      <xdr:nvCxnSpPr>
        <xdr:cNvPr id="23" name="Straight Arrow Connector 22">
          <a:extLst>
            <a:ext uri="{FF2B5EF4-FFF2-40B4-BE49-F238E27FC236}">
              <a16:creationId xmlns:a16="http://schemas.microsoft.com/office/drawing/2014/main" id="{4B8D905D-AF65-4ED0-9C48-E67E95E6E908}"/>
            </a:ext>
          </a:extLst>
        </xdr:cNvPr>
        <xdr:cNvCxnSpPr/>
      </xdr:nvCxnSpPr>
      <xdr:spPr>
        <a:xfrm>
          <a:off x="16529050" y="4597400"/>
          <a:ext cx="895350" cy="3175"/>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7407</xdr:colOff>
      <xdr:row>9</xdr:row>
      <xdr:rowOff>0</xdr:rowOff>
    </xdr:from>
    <xdr:to>
      <xdr:col>24</xdr:col>
      <xdr:colOff>219226</xdr:colOff>
      <xdr:row>9</xdr:row>
      <xdr:rowOff>8468</xdr:rowOff>
    </xdr:to>
    <xdr:cxnSp macro="">
      <xdr:nvCxnSpPr>
        <xdr:cNvPr id="28" name="Straight Arrow Connector 27">
          <a:extLst>
            <a:ext uri="{FF2B5EF4-FFF2-40B4-BE49-F238E27FC236}">
              <a16:creationId xmlns:a16="http://schemas.microsoft.com/office/drawing/2014/main" id="{B37520E9-ACD0-4176-BE5D-4821EB449BCB}"/>
            </a:ext>
          </a:extLst>
        </xdr:cNvPr>
        <xdr:cNvCxnSpPr/>
      </xdr:nvCxnSpPr>
      <xdr:spPr>
        <a:xfrm flipV="1">
          <a:off x="23479728" y="2744107"/>
          <a:ext cx="801462" cy="8468"/>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1363960</xdr:colOff>
      <xdr:row>8</xdr:row>
      <xdr:rowOff>233065</xdr:rowOff>
    </xdr:from>
    <xdr:to>
      <xdr:col>22</xdr:col>
      <xdr:colOff>3679</xdr:colOff>
      <xdr:row>8</xdr:row>
      <xdr:rowOff>233066</xdr:rowOff>
    </xdr:to>
    <xdr:cxnSp macro="">
      <xdr:nvCxnSpPr>
        <xdr:cNvPr id="32" name="Straight Arrow Connector 31">
          <a:extLst>
            <a:ext uri="{FF2B5EF4-FFF2-40B4-BE49-F238E27FC236}">
              <a16:creationId xmlns:a16="http://schemas.microsoft.com/office/drawing/2014/main" id="{567774EA-A993-4AAF-ABB1-E55D1EED2D0B}"/>
            </a:ext>
          </a:extLst>
        </xdr:cNvPr>
        <xdr:cNvCxnSpPr/>
      </xdr:nvCxnSpPr>
      <xdr:spPr>
        <a:xfrm>
          <a:off x="20206895" y="2690239"/>
          <a:ext cx="599936" cy="1"/>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7960</xdr:colOff>
      <xdr:row>16</xdr:row>
      <xdr:rowOff>222436</xdr:rowOff>
    </xdr:from>
    <xdr:to>
      <xdr:col>22</xdr:col>
      <xdr:colOff>20659</xdr:colOff>
      <xdr:row>16</xdr:row>
      <xdr:rowOff>222437</xdr:rowOff>
    </xdr:to>
    <xdr:cxnSp macro="">
      <xdr:nvCxnSpPr>
        <xdr:cNvPr id="33" name="Straight Arrow Connector 32">
          <a:extLst>
            <a:ext uri="{FF2B5EF4-FFF2-40B4-BE49-F238E27FC236}">
              <a16:creationId xmlns:a16="http://schemas.microsoft.com/office/drawing/2014/main" id="{7952FEBD-3430-418E-BAD0-713B46D86A35}"/>
            </a:ext>
          </a:extLst>
        </xdr:cNvPr>
        <xdr:cNvCxnSpPr/>
      </xdr:nvCxnSpPr>
      <xdr:spPr>
        <a:xfrm>
          <a:off x="20217525" y="4363740"/>
          <a:ext cx="606286" cy="1"/>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xdr:colOff>
      <xdr:row>7</xdr:row>
      <xdr:rowOff>6350</xdr:rowOff>
    </xdr:from>
    <xdr:to>
      <xdr:col>7</xdr:col>
      <xdr:colOff>6350</xdr:colOff>
      <xdr:row>12</xdr:row>
      <xdr:rowOff>12700</xdr:rowOff>
    </xdr:to>
    <xdr:cxnSp macro="">
      <xdr:nvCxnSpPr>
        <xdr:cNvPr id="14" name="Straight Arrow Connector 13">
          <a:extLst>
            <a:ext uri="{FF2B5EF4-FFF2-40B4-BE49-F238E27FC236}">
              <a16:creationId xmlns:a16="http://schemas.microsoft.com/office/drawing/2014/main" id="{C24EE843-7377-4631-9991-C2AB1CF6CF39}"/>
            </a:ext>
          </a:extLst>
        </xdr:cNvPr>
        <xdr:cNvCxnSpPr/>
      </xdr:nvCxnSpPr>
      <xdr:spPr>
        <a:xfrm>
          <a:off x="4133850" y="2254250"/>
          <a:ext cx="1079500" cy="1200150"/>
        </a:xfrm>
        <a:prstGeom prst="straightConnector1">
          <a:avLst/>
        </a:prstGeom>
        <a:ln w="38100">
          <a:solidFill>
            <a:schemeClr val="accent3">
              <a:alpha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AcornBioenergySharedFiles/Shared%20Documents/01%20Active%20Projects/01%20-%20Three%20Maids/03%20-%20Revenue/Energy%20Centre/UPSIDE%20CASE/Downstream+Energy_Larger-Base-Case_13.07.2022OL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AcornBioenergySharedFiles/Shared%20Documents/Upstream/Projects%20Under%20Development/Base%20Case/OLD%20FILES/NEW-Downstream+Energy_Base-Case_26.01.2022_V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ay-24b/Downstream+Energy_Larger-Base-Case_13.07.2022OL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ites/AcornBioenergySharedFiles/Shared%20Documents/Upstream/Projects%20Under%20Development/Acorn%20Projects/Wrexham-PL-10.12.2021-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_MAIN"/>
      <sheetName val="GHG-OLD"/>
      <sheetName val="GHG_INTENSITY"/>
      <sheetName val="GHG_INTENSITY_digestate"/>
      <sheetName val="GHG_headlines"/>
      <sheetName val="GHG_Emissions"/>
      <sheetName val="GHG_Conversions"/>
      <sheetName val="BEIS Fuel Properties"/>
      <sheetName val="CO2 instructions"/>
      <sheetName val="Energy-Amine"/>
      <sheetName val="Energy-Membrane"/>
      <sheetName val="Energy-Amine-elec"/>
      <sheetName val="Energy-Amine-elec_DWcalcs08.10"/>
      <sheetName val="Energy-Amine-elec_NO-HYD"/>
      <sheetName val="Energy-Membr-elec_DWcalcs08.10"/>
      <sheetName val="Energy-Membr-elec_DWcalcsOLD"/>
      <sheetName val="Energy-Membr-elec_NO-HYD"/>
      <sheetName val="Amine_Biogas to CHP heat"/>
      <sheetName val="Energy Outputs-08.10"/>
      <sheetName val="Energy Outputs"/>
      <sheetName val="0__CHP"/>
      <sheetName val="Membrane to CHP heat OLD 19.10"/>
      <sheetName val="CBA-West-Fen"/>
      <sheetName val="CCm-their numbers"/>
      <sheetName val="Evaporator IRR NPV"/>
      <sheetName val="ENERGY_Membrane_CHP (new)"/>
      <sheetName val="CCm-current2"/>
      <sheetName val="Sheet5"/>
      <sheetName val="Summary"/>
      <sheetName val="Scenario 1a"/>
      <sheetName val="ENERGY_Membrane_CHP (oversized)"/>
      <sheetName val="ENERGY_Membrane_CHP (100% NG)"/>
      <sheetName val="Scenario 1b"/>
      <sheetName val="Scenario 1c"/>
      <sheetName val="Scenario 2a"/>
      <sheetName val="Scenario 2b"/>
      <sheetName val="Scenario 3a"/>
      <sheetName val="Scenario 3b"/>
      <sheetName val="Scenario 4a"/>
      <sheetName val="Scenario 4b"/>
      <sheetName val="Scenario 5a"/>
      <sheetName val="Scenario 5b"/>
      <sheetName val="Scenario 6a"/>
      <sheetName val="Scenario 6b"/>
      <sheetName val="Scenario 7a"/>
      <sheetName val="Scenario 7b"/>
      <sheetName val="Summary Large Base"/>
      <sheetName val="Equipment Power"/>
      <sheetName val="Scenario 1d - carbon calculator"/>
      <sheetName val="Scenario 1d (2)"/>
      <sheetName val="Scenario 1d"/>
      <sheetName val="Scenario 1e"/>
      <sheetName val="Scenario 2d"/>
      <sheetName val="Scenario 2e"/>
      <sheetName val="Scenario 3d"/>
      <sheetName val="Scenario 3e"/>
      <sheetName val="Scenario 3f"/>
      <sheetName val="Scenario 4d"/>
      <sheetName val="Scenario 4e"/>
      <sheetName val="Scenario 5d"/>
      <sheetName val="Scenario 5e"/>
      <sheetName val="Scenario 6d"/>
      <sheetName val="Scenario 6e"/>
      <sheetName val="Scenario 7d"/>
      <sheetName val="Nat Gas Import"/>
      <sheetName val="1_CH4_UPGRADE"/>
      <sheetName val="1_CH4_UPGRADE (2)"/>
      <sheetName val="Upgraders"/>
      <sheetName val="Adsorbant costs"/>
      <sheetName val="CHP_Wartsila"/>
      <sheetName val="CHP_Pentair"/>
      <sheetName val="Harry's sheet"/>
      <sheetName val="CO2_Upgraders"/>
      <sheetName val="2_CO2_UPGRADE"/>
      <sheetName val="3_COMPRESSION"/>
      <sheetName val="Compressors"/>
      <sheetName val="4_CIVILS"/>
      <sheetName val="5_VIRTUAL-PIPELINE_Budds"/>
      <sheetName val="5_VIRTUAL-PIPELINE_Ashford"/>
      <sheetName val="5_Assumptions"/>
      <sheetName val="5_VIRTUAL-PIPELINE"/>
      <sheetName val="5_Trailers"/>
      <sheetName val="5_CH4 transport (with CBL)"/>
      <sheetName val="5_CO2 transport"/>
      <sheetName val="5_CH4 transport"/>
      <sheetName val="6_INJECTION-HUB"/>
      <sheetName val="7_OUTCOMES_Base_Case2"/>
      <sheetName val="Waterfall"/>
      <sheetName val="P&amp;L_BUDDS_1_OLD"/>
      <sheetName val="7_OUTCOMES_Base_Case"/>
      <sheetName val="P&amp;L_Base-Case"/>
      <sheetName val="P&amp;L_BUDDS_1"/>
      <sheetName val="P&amp;L_BUDDS_2"/>
      <sheetName val="P&amp;L_ASHFORD_1"/>
      <sheetName val="P&amp;L_ASHFORD_2"/>
      <sheetName val="P&amp;L_CASE-3"/>
      <sheetName val="CCm-old"/>
      <sheetName val="4_Diesel-NG pricing"/>
      <sheetName val="BUU"/>
    </sheetNames>
    <sheetDataSet>
      <sheetData sheetId="0">
        <row r="46">
          <cell r="D46">
            <v>11.055555555555555</v>
          </cell>
        </row>
        <row r="47">
          <cell r="D47">
            <v>10.480045115391288</v>
          </cell>
        </row>
        <row r="48">
          <cell r="D48">
            <v>10.757201476600159</v>
          </cell>
        </row>
        <row r="49">
          <cell r="D49">
            <v>26.812419915797182</v>
          </cell>
        </row>
        <row r="50">
          <cell r="D50" t="str">
            <v>YES</v>
          </cell>
        </row>
        <row r="51">
          <cell r="D51">
            <v>2.0030000000000001</v>
          </cell>
        </row>
        <row r="56">
          <cell r="D56">
            <v>71.077481488675247</v>
          </cell>
        </row>
        <row r="61">
          <cell r="D61">
            <v>504.24242424242425</v>
          </cell>
        </row>
        <row r="67">
          <cell r="D67">
            <v>15</v>
          </cell>
        </row>
        <row r="72">
          <cell r="D72">
            <v>1.2</v>
          </cell>
        </row>
        <row r="82">
          <cell r="D82" t="str">
            <v>Y</v>
          </cell>
        </row>
        <row r="88">
          <cell r="D88" t="e">
            <v>#REF!</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4">
          <cell r="D4">
            <v>564</v>
          </cell>
          <cell r="F4">
            <v>823</v>
          </cell>
          <cell r="H4">
            <v>1872.4692058332571</v>
          </cell>
        </row>
        <row r="7">
          <cell r="H7">
            <v>0.55808921925694976</v>
          </cell>
        </row>
        <row r="23">
          <cell r="H23">
            <v>9135934.2385276388</v>
          </cell>
        </row>
        <row r="25">
          <cell r="H25">
            <v>101002.82852594444</v>
          </cell>
        </row>
        <row r="38">
          <cell r="H38">
            <v>1916666.6666666667</v>
          </cell>
        </row>
        <row r="58">
          <cell r="H58">
            <v>476956.25810031651</v>
          </cell>
        </row>
      </sheetData>
      <sheetData sheetId="66"/>
      <sheetData sheetId="67"/>
      <sheetData sheetId="68">
        <row r="4">
          <cell r="E4">
            <v>3.66</v>
          </cell>
          <cell r="I4">
            <v>9.5000000000000001E-2</v>
          </cell>
          <cell r="J4">
            <v>0.19500000000000001</v>
          </cell>
        </row>
        <row r="5">
          <cell r="E5">
            <v>3.99</v>
          </cell>
          <cell r="I5">
            <v>0.15</v>
          </cell>
          <cell r="J5">
            <v>0.4</v>
          </cell>
        </row>
      </sheetData>
      <sheetData sheetId="69"/>
      <sheetData sheetId="70"/>
      <sheetData sheetId="71"/>
      <sheetData sheetId="72"/>
      <sheetData sheetId="73">
        <row r="23">
          <cell r="H23">
            <v>1800000</v>
          </cell>
        </row>
        <row r="31">
          <cell r="H31">
            <v>188245.90492623529</v>
          </cell>
        </row>
      </sheetData>
      <sheetData sheetId="74">
        <row r="33">
          <cell r="H33">
            <v>767344.39359267731</v>
          </cell>
        </row>
        <row r="41">
          <cell r="H41">
            <v>187947.35658541077</v>
          </cell>
        </row>
      </sheetData>
      <sheetData sheetId="75"/>
      <sheetData sheetId="76">
        <row r="10">
          <cell r="H10">
            <v>660000</v>
          </cell>
        </row>
      </sheetData>
      <sheetData sheetId="77">
        <row r="24">
          <cell r="H24">
            <v>996209.50000000012</v>
          </cell>
        </row>
      </sheetData>
      <sheetData sheetId="78"/>
      <sheetData sheetId="79"/>
      <sheetData sheetId="80">
        <row r="30">
          <cell r="H30">
            <v>861449.83007135009</v>
          </cell>
        </row>
      </sheetData>
      <sheetData sheetId="81"/>
      <sheetData sheetId="82"/>
      <sheetData sheetId="83"/>
      <sheetData sheetId="84"/>
      <sheetData sheetId="85">
        <row r="13">
          <cell r="I13">
            <v>0</v>
          </cell>
        </row>
        <row r="23">
          <cell r="I23">
            <v>218972.58631449303</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_MAIN"/>
      <sheetName val="GHG-OLD"/>
      <sheetName val="GHG_INTENSITY"/>
      <sheetName val="GHG_INTENSITY_digestate"/>
      <sheetName val="GHG_headlines"/>
      <sheetName val="GHG_Emissions"/>
      <sheetName val="BEIS Fuel Properties"/>
      <sheetName val="CO2 instructions"/>
      <sheetName val="Energy-Amine"/>
      <sheetName val="Energy-Membrane"/>
      <sheetName val="Energy-Amine-elec"/>
      <sheetName val="Energy-Amine-elec_DWcalcs08.10"/>
      <sheetName val="Energy-Amine-elec_NO-HYD"/>
      <sheetName val="Energy-Membr-elec_DWcalcs08.10"/>
      <sheetName val="Energy-Membr-elec_DWcalcsOLD"/>
      <sheetName val="Energy-Membr-elec_NO-HYD"/>
      <sheetName val="Amine_Biogas to CHP heat"/>
      <sheetName val="Energy Outputs-08.10"/>
      <sheetName val="Energy Outputs"/>
      <sheetName val="0__CHP"/>
      <sheetName val="Membrane to CHP heat OLD 19.10"/>
      <sheetName val="GHG_Conversions"/>
      <sheetName val="CBA-West-Fen"/>
      <sheetName val="CCm-their numbers"/>
      <sheetName val="Evaporator IRR NPV"/>
      <sheetName val="ENERGY_Membrane_CHP (new)"/>
      <sheetName val="CCm-current2"/>
      <sheetName val="Sheet5"/>
      <sheetName val="Summary"/>
      <sheetName val="Scenario 1a"/>
      <sheetName val="ENERGY_Membrane_CHP (oversized)"/>
      <sheetName val="ENERGY_Membrane_CHP (100% NG)"/>
      <sheetName val="Scenario 1b"/>
      <sheetName val="Scenario 1c"/>
      <sheetName val="Scenario 2a"/>
      <sheetName val="Scenario 2b"/>
      <sheetName val="Scenario 3a"/>
      <sheetName val="Scenario 3b"/>
      <sheetName val="Scenario 4a"/>
      <sheetName val="Scenario 4b"/>
      <sheetName val="Scenario 5a"/>
      <sheetName val="Scenario 5b"/>
      <sheetName val="Scenario 6a"/>
      <sheetName val="Scenario 6b"/>
      <sheetName val="Scenario 7a"/>
      <sheetName val="Scenario 7b"/>
      <sheetName val="1_CH4_UPGRADE"/>
      <sheetName val="1_CH4_UPGRADE (2)"/>
      <sheetName val="UPGRADERS"/>
      <sheetName val="Adsorbant costs"/>
      <sheetName val="CHP_Wartsila"/>
      <sheetName val="CHP_Pentair"/>
      <sheetName val="Harry's sheet"/>
      <sheetName val="CO2_Upgraders"/>
      <sheetName val="2_CO2_UPGRADE"/>
      <sheetName val="3_COMPRESSION"/>
      <sheetName val="Compressors"/>
      <sheetName val="4_CIVILS"/>
      <sheetName val="5_VIRTUAL-PIPELINE_Budds"/>
      <sheetName val="5_VIRTUAL-PIPELINE_Ashford"/>
      <sheetName val="5_Assumptions"/>
      <sheetName val="5_VIRTUAL-PIPELINE"/>
      <sheetName val="5_Trailers"/>
      <sheetName val="5_CH4 transport (with CBL)"/>
      <sheetName val="5_CO2 transport"/>
      <sheetName val="5_CH4 transport"/>
      <sheetName val="6_INJECTION-HUB"/>
      <sheetName val="7_OUTCOMES_Base_Case2"/>
      <sheetName val="Waterfall"/>
      <sheetName val="P&amp;L_BUDDS_1_OLD"/>
      <sheetName val="7_OUTCOMES_Base_Case"/>
      <sheetName val="P&amp;L_Base-Case"/>
      <sheetName val="P&amp;L_BUDDS_1"/>
      <sheetName val="P&amp;L_BUDDS_2"/>
      <sheetName val="P&amp;L_ASHFORD_1"/>
      <sheetName val="P&amp;L_ASHFORD_2"/>
      <sheetName val="P&amp;L_CASE-3"/>
      <sheetName val="CCm-old"/>
      <sheetName val="4_Diesel-NG pricing"/>
      <sheetName val="BUU"/>
    </sheetNames>
    <sheetDataSet>
      <sheetData sheetId="0">
        <row r="43">
          <cell r="D43">
            <v>11.055555555555555</v>
          </cell>
        </row>
        <row r="44">
          <cell r="D44">
            <v>10.480045115391288</v>
          </cell>
        </row>
        <row r="45">
          <cell r="D45">
            <v>10.757201476600159</v>
          </cell>
        </row>
        <row r="46">
          <cell r="D46">
            <v>26.812419915797182</v>
          </cell>
        </row>
        <row r="47">
          <cell r="D47" t="str">
            <v>YES</v>
          </cell>
        </row>
        <row r="48">
          <cell r="D48">
            <v>2.0030000000000001</v>
          </cell>
        </row>
        <row r="53">
          <cell r="D53">
            <v>87.678142196607524</v>
          </cell>
        </row>
        <row r="58">
          <cell r="D58">
            <v>504.24242424242425</v>
          </cell>
        </row>
        <row r="64">
          <cell r="D64">
            <v>15</v>
          </cell>
        </row>
        <row r="69">
          <cell r="D69">
            <v>1.1679999999999999</v>
          </cell>
        </row>
        <row r="79">
          <cell r="D79" t="str">
            <v>Y</v>
          </cell>
        </row>
        <row r="85">
          <cell r="D85" t="e">
            <v>#REF!</v>
          </cell>
        </row>
      </sheetData>
      <sheetData sheetId="1"/>
      <sheetData sheetId="2">
        <row r="64">
          <cell r="H64">
            <v>5.6958729914442294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9">
          <cell r="D19">
            <v>45.4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4">
          <cell r="D4">
            <v>564</v>
          </cell>
          <cell r="F4">
            <v>823</v>
          </cell>
          <cell r="H4">
            <v>1550.8273565482896</v>
          </cell>
        </row>
        <row r="7">
          <cell r="H7">
            <v>0.5672254189495991</v>
          </cell>
        </row>
        <row r="23">
          <cell r="H23">
            <v>7690485.9904685589</v>
          </cell>
        </row>
        <row r="25">
          <cell r="H25">
            <v>85022.595116846845</v>
          </cell>
        </row>
        <row r="38">
          <cell r="H38">
            <v>1969178.0821917809</v>
          </cell>
        </row>
        <row r="58">
          <cell r="H58">
            <v>439751.3857554486</v>
          </cell>
        </row>
      </sheetData>
      <sheetData sheetId="47"/>
      <sheetData sheetId="48"/>
      <sheetData sheetId="49">
        <row r="4">
          <cell r="E4">
            <v>3.66</v>
          </cell>
          <cell r="I4">
            <v>9.5000000000000001E-2</v>
          </cell>
          <cell r="J4">
            <v>0.19500000000000001</v>
          </cell>
        </row>
        <row r="5">
          <cell r="E5">
            <v>3.99</v>
          </cell>
          <cell r="I5">
            <v>0.15</v>
          </cell>
          <cell r="J5">
            <v>0.4</v>
          </cell>
        </row>
      </sheetData>
      <sheetData sheetId="50"/>
      <sheetData sheetId="51"/>
      <sheetData sheetId="52"/>
      <sheetData sheetId="53"/>
      <sheetData sheetId="54">
        <row r="23">
          <cell r="H23">
            <v>1800000</v>
          </cell>
        </row>
        <row r="31">
          <cell r="H31">
            <v>191024.22021160007</v>
          </cell>
        </row>
      </sheetData>
      <sheetData sheetId="55">
        <row r="33">
          <cell r="H33">
            <v>749035.05535055359</v>
          </cell>
        </row>
        <row r="41">
          <cell r="H41">
            <v>191916.30938944026</v>
          </cell>
        </row>
      </sheetData>
      <sheetData sheetId="56"/>
      <sheetData sheetId="57">
        <row r="10">
          <cell r="H10">
            <v>660000</v>
          </cell>
        </row>
      </sheetData>
      <sheetData sheetId="58">
        <row r="24">
          <cell r="H24">
            <v>1021387.2945205482</v>
          </cell>
        </row>
      </sheetData>
      <sheetData sheetId="59"/>
      <sheetData sheetId="60"/>
      <sheetData sheetId="61">
        <row r="30">
          <cell r="H30">
            <v>825508.39668118639</v>
          </cell>
        </row>
      </sheetData>
      <sheetData sheetId="62"/>
      <sheetData sheetId="63"/>
      <sheetData sheetId="64"/>
      <sheetData sheetId="65"/>
      <sheetData sheetId="66">
        <row r="13">
          <cell r="I13">
            <v>0</v>
          </cell>
        </row>
        <row r="23">
          <cell r="I23">
            <v>184327.68487393059</v>
          </cell>
        </row>
      </sheetData>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_MAIN"/>
      <sheetName val="GHG-OLD"/>
      <sheetName val="GHG_INTENSITY"/>
      <sheetName val="GHG_INTENSITY_digestate"/>
      <sheetName val="GHG_headlines"/>
      <sheetName val="GHG_Emissions"/>
      <sheetName val="GHG_Conversions"/>
      <sheetName val="BEIS Fuel Properties"/>
      <sheetName val="CO2 instructions"/>
      <sheetName val="Energy-Amine"/>
      <sheetName val="Energy-Membrane"/>
      <sheetName val="Energy-Amine-elec"/>
      <sheetName val="Energy-Amine-elec_DWcalcs08.10"/>
      <sheetName val="Energy-Amine-elec_NO-HYD"/>
      <sheetName val="Energy-Membr-elec_DWcalcs08.10"/>
      <sheetName val="Energy-Membr-elec_DWcalcsOLD"/>
      <sheetName val="Energy-Membr-elec_NO-HYD"/>
      <sheetName val="Amine_Biogas to CHP heat"/>
      <sheetName val="Energy Outputs-08.10"/>
      <sheetName val="Energy Outputs"/>
      <sheetName val="0__CHP"/>
      <sheetName val="Membrane to CHP heat OLD 19.10"/>
      <sheetName val="CBA-West-Fen"/>
      <sheetName val="CCm-their numbers"/>
      <sheetName val="Evaporator IRR NPV"/>
      <sheetName val="ENERGY_Membrane_CHP (new)"/>
      <sheetName val="CCm-current2"/>
      <sheetName val="Sheet5"/>
      <sheetName val="Summary"/>
      <sheetName val="Scenario 1a"/>
      <sheetName val="ENERGY_Membrane_CHP (oversized)"/>
      <sheetName val="ENERGY_Membrane_CHP (100% NG)"/>
      <sheetName val="Scenario 1b"/>
      <sheetName val="Scenario 1c"/>
      <sheetName val="Scenario 2a"/>
      <sheetName val="Scenario 2b"/>
      <sheetName val="Scenario 3a"/>
      <sheetName val="Scenario 3b"/>
      <sheetName val="Scenario 4a"/>
      <sheetName val="Scenario 4b"/>
      <sheetName val="Scenario 5a"/>
      <sheetName val="Scenario 5b"/>
      <sheetName val="Scenario 6a"/>
      <sheetName val="Scenario 6b"/>
      <sheetName val="Scenario 7a"/>
      <sheetName val="Scenario 7b"/>
      <sheetName val="Summary Large Base"/>
      <sheetName val="Equipment Power"/>
      <sheetName val="Scenario 1d - carbon calculator"/>
      <sheetName val="Scenario 1d (2)"/>
      <sheetName val="Scenario 1d"/>
      <sheetName val="Scenario 1e"/>
      <sheetName val="Scenario 2d"/>
      <sheetName val="Scenario 2e"/>
      <sheetName val="Scenario 3d"/>
      <sheetName val="Scenario 3e"/>
      <sheetName val="Scenario 3f"/>
      <sheetName val="Scenario 4d"/>
      <sheetName val="Scenario 4e"/>
      <sheetName val="Scenario 5d"/>
      <sheetName val="Scenario 5e"/>
      <sheetName val="Scenario 6d"/>
      <sheetName val="Scenario 6e"/>
      <sheetName val="Scenario 7d"/>
      <sheetName val="Nat Gas Import"/>
      <sheetName val="1_CH4_UPGRADE"/>
      <sheetName val="1_CH4_UPGRADE (2)"/>
      <sheetName val="Upgraders"/>
      <sheetName val="Adsorbant costs"/>
      <sheetName val="CHP_Wartsila"/>
      <sheetName val="CHP_Pentair"/>
      <sheetName val="Harry's sheet"/>
      <sheetName val="CO2_Upgraders"/>
      <sheetName val="2_CO2_UPGRADE"/>
      <sheetName val="3_COMPRESSION"/>
      <sheetName val="Compressors"/>
      <sheetName val="4_CIVILS"/>
      <sheetName val="5_VIRTUAL-PIPELINE_Budds"/>
      <sheetName val="5_VIRTUAL-PIPELINE_Ashford"/>
      <sheetName val="5_Assumptions"/>
      <sheetName val="5_VIRTUAL-PIPELINE"/>
      <sheetName val="5_Trailers"/>
      <sheetName val="5_CH4 transport (with CBL)"/>
      <sheetName val="5_CO2 transport"/>
      <sheetName val="5_CH4 transport"/>
      <sheetName val="6_INJECTION-HUB"/>
      <sheetName val="7_OUTCOMES_Base_Case2"/>
      <sheetName val="Waterfall"/>
      <sheetName val="P&amp;L_BUDDS_1_OLD"/>
      <sheetName val="7_OUTCOMES_Base_Case"/>
      <sheetName val="P&amp;L_Base-Case"/>
      <sheetName val="P&amp;L_BUDDS_1"/>
      <sheetName val="P&amp;L_BUDDS_2"/>
      <sheetName val="P&amp;L_ASHFORD_1"/>
      <sheetName val="P&amp;L_ASHFORD_2"/>
      <sheetName val="P&amp;L_CASE-3"/>
      <sheetName val="CCm-old"/>
      <sheetName val="4_Diesel-NG pricing"/>
      <sheetName val="BUU"/>
    </sheetNames>
    <sheetDataSet>
      <sheetData sheetId="0">
        <row r="46">
          <cell r="D46">
            <v>11.055555555555555</v>
          </cell>
        </row>
        <row r="47">
          <cell r="D47">
            <v>10.480045115391288</v>
          </cell>
        </row>
        <row r="48">
          <cell r="D48">
            <v>10.757201476600159</v>
          </cell>
        </row>
        <row r="49">
          <cell r="D49">
            <v>26.812419915797182</v>
          </cell>
        </row>
        <row r="50">
          <cell r="D50" t="str">
            <v>YES</v>
          </cell>
        </row>
        <row r="51">
          <cell r="D51">
            <v>2.0030000000000001</v>
          </cell>
        </row>
        <row r="56">
          <cell r="D56">
            <v>71.077481488675247</v>
          </cell>
        </row>
        <row r="61">
          <cell r="D61">
            <v>504.24242424242425</v>
          </cell>
        </row>
        <row r="67">
          <cell r="D67">
            <v>15</v>
          </cell>
        </row>
        <row r="72">
          <cell r="D72">
            <v>1.2</v>
          </cell>
        </row>
        <row r="82">
          <cell r="D82" t="str">
            <v>Y</v>
          </cell>
        </row>
        <row r="88">
          <cell r="D88" t="e">
            <v>#REF!</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4">
          <cell r="D4">
            <v>564</v>
          </cell>
          <cell r="F4">
            <v>823</v>
          </cell>
          <cell r="H4">
            <v>1872.4692058332571</v>
          </cell>
        </row>
        <row r="7">
          <cell r="H7">
            <v>0.55808921925694976</v>
          </cell>
        </row>
        <row r="23">
          <cell r="H23">
            <v>9135934.2385276388</v>
          </cell>
        </row>
        <row r="25">
          <cell r="H25">
            <v>101002.82852594444</v>
          </cell>
        </row>
        <row r="38">
          <cell r="H38">
            <v>1916666.6666666667</v>
          </cell>
        </row>
        <row r="58">
          <cell r="H58">
            <v>476956.25810031651</v>
          </cell>
        </row>
      </sheetData>
      <sheetData sheetId="66"/>
      <sheetData sheetId="67"/>
      <sheetData sheetId="68">
        <row r="4">
          <cell r="E4">
            <v>3.66</v>
          </cell>
          <cell r="I4">
            <v>9.5000000000000001E-2</v>
          </cell>
          <cell r="J4">
            <v>0.19500000000000001</v>
          </cell>
        </row>
        <row r="5">
          <cell r="E5">
            <v>3.99</v>
          </cell>
          <cell r="I5">
            <v>0.15</v>
          </cell>
          <cell r="J5">
            <v>0.4</v>
          </cell>
        </row>
      </sheetData>
      <sheetData sheetId="69"/>
      <sheetData sheetId="70"/>
      <sheetData sheetId="71"/>
      <sheetData sheetId="72"/>
      <sheetData sheetId="73">
        <row r="23">
          <cell r="H23">
            <v>1800000</v>
          </cell>
        </row>
        <row r="31">
          <cell r="H31">
            <v>188245.90492623529</v>
          </cell>
        </row>
      </sheetData>
      <sheetData sheetId="74">
        <row r="33">
          <cell r="H33">
            <v>767344.39359267731</v>
          </cell>
        </row>
        <row r="41">
          <cell r="H41">
            <v>187947.35658541077</v>
          </cell>
        </row>
      </sheetData>
      <sheetData sheetId="75"/>
      <sheetData sheetId="76">
        <row r="10">
          <cell r="H10">
            <v>660000</v>
          </cell>
        </row>
      </sheetData>
      <sheetData sheetId="77">
        <row r="24">
          <cell r="H24">
            <v>996209.50000000012</v>
          </cell>
        </row>
      </sheetData>
      <sheetData sheetId="78"/>
      <sheetData sheetId="79"/>
      <sheetData sheetId="80">
        <row r="30">
          <cell r="H30">
            <v>861449.83007135009</v>
          </cell>
        </row>
      </sheetData>
      <sheetData sheetId="81"/>
      <sheetData sheetId="82"/>
      <sheetData sheetId="83"/>
      <sheetData sheetId="84"/>
      <sheetData sheetId="85">
        <row r="13">
          <cell r="I13">
            <v>0</v>
          </cell>
        </row>
        <row r="23">
          <cell r="I23">
            <v>218972.58631449303</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_MAIN"/>
      <sheetName val="GHG-OLD"/>
      <sheetName val="GHG_INTENSITY"/>
      <sheetName val="GHG_INTENSITY_digestate"/>
      <sheetName val="GHG_headlines"/>
      <sheetName val="GHG_Emissions"/>
      <sheetName val="GHG_Conversions"/>
      <sheetName val="BEIS Fuel Properties"/>
      <sheetName val="CO2 instructions"/>
      <sheetName val="Energy-Amine"/>
      <sheetName val="Energy-Membrane"/>
      <sheetName val="Energy-Amine-elec"/>
      <sheetName val="Energy-Amine-elec_DWcalcs08.10"/>
      <sheetName val="Energy-Amine-elec_NO-HYD"/>
      <sheetName val="Energy-Membr-elec_DWcalcs08.10"/>
      <sheetName val="Energy-Membr-elec_DWcalcsOLD"/>
      <sheetName val="Energy-Membr-elec_NO-HYD"/>
      <sheetName val="7_OUTCOMES_Southern"/>
      <sheetName val="Amine_Biogas to CHP heat"/>
      <sheetName val="Energy Outputs-08.10"/>
      <sheetName val="Energy Outputs"/>
      <sheetName val="0__CHP"/>
      <sheetName val="Membrane to CHP heat OLD 19.10"/>
      <sheetName val="ENERGY_Membrane_CHP (new)"/>
      <sheetName val="ENERGY_Membrane_CHP (compariso)"/>
      <sheetName val="1_CH4_UPGRADE"/>
      <sheetName val="1_CH4_UPGRADE (2)"/>
      <sheetName val="UPGRADERS"/>
      <sheetName val="Adsorbant costs"/>
      <sheetName val="CHP_Wartsila"/>
      <sheetName val="CHP_Pentair"/>
      <sheetName val="Harry's sheet"/>
      <sheetName val="CO2_Upgraders"/>
      <sheetName val="2_CO2_UPGRADE"/>
      <sheetName val="3_COMPRESSION"/>
      <sheetName val="Compressors"/>
      <sheetName val="4_CIVILS"/>
      <sheetName val="5_VIRTUAL-PIPELINE_Budds"/>
      <sheetName val="5_VIRTUAL-PIPELINE_Ashford"/>
      <sheetName val="5_Assumptions"/>
      <sheetName val="5_VIRTUAL-PIPELINE"/>
      <sheetName val="5_Trailers"/>
      <sheetName val="5_CO2 transport"/>
      <sheetName val="5_CH4 transport"/>
      <sheetName val="6_INJECTION-HUB"/>
      <sheetName val="P&amp;L_BUDDS_1_OLD"/>
      <sheetName val="7_OUTCOMES_Base_Case2"/>
      <sheetName val="P&amp;L_Base-Case"/>
      <sheetName val="P&amp;L_BUDDS_1"/>
      <sheetName val="P&amp;L_BUDDS_2"/>
      <sheetName val="P&amp;L_ASHFORD_1"/>
      <sheetName val="P&amp;L_ASHFORD_2"/>
      <sheetName val="P&amp;L_CASE-3"/>
      <sheetName val="CCm"/>
      <sheetName val="4_Diesel-NG pricing"/>
      <sheetName val="BU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persons/person.xml><?xml version="1.0" encoding="utf-8"?>
<personList xmlns="http://schemas.microsoft.com/office/spreadsheetml/2018/threadedcomments" xmlns:x="http://schemas.openxmlformats.org/spreadsheetml/2006/main">
  <person displayName="Jose Batista" id="{1FC47217-D4B9-40FB-A7A6-BC7150E3AE60}" userId="jose.batista@acornbioenergy.com" providerId="PeoplePicker"/>
  <person displayName="Jose Batista" id="{13364C88-4290-452B-BD75-DFDAA98FAE6C}" userId="S::jose.batista@acornbioenergy.com::829ebe7c-bcba-4ebf-ba65-6fd89509d930" providerId="AD"/>
  <person displayName="Daniel Lambert" id="{954CA269-5ECC-4DCB-8351-556829143A5C}" userId="S::daniel.lambert@acornbioenergy.com::af69bec6-47b8-41f3-9e95-e20b4253486d"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12</v>
    <v>951</v>
    <v>0</v>
  </rv>
</rvData>
</file>

<file path=xl/richData/rdrichvaluestructure.xml><?xml version="1.0" encoding="utf-8"?>
<rvStructures xmlns="http://schemas.microsoft.com/office/spreadsheetml/2017/richdata" count="1">
  <s t="_error">
    <k n="errorType" t="i"/>
    <k n="field" t="s"/>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12308A-0906-483C-8560-09F7F37E7B7A}" name="Table_12" displayName="Table_12" ref="B3:G21">
  <tableColumns count="6">
    <tableColumn id="1" xr3:uid="{0E03DC58-DBFA-4614-8E8E-A40FD12A9DA6}" name="Fuel" dataDxfId="47"/>
    <tableColumn id="9" xr3:uid="{63A2E116-A082-4BC1-B917-EAAB81286C02}" name="Value" dataDxfId="46" dataCellStyle="Normal 4"/>
    <tableColumn id="11" xr3:uid="{99761699-E313-4D78-BC41-7B981892BF88}" name="Unit" dataDxfId="45" dataCellStyle="Normal 4"/>
    <tableColumn id="3" xr3:uid="{D85B7A17-7C13-4539-AC0B-A90BC93957D6}" name="Value3" dataDxfId="44"/>
    <tableColumn id="12" xr3:uid="{A678A811-E7DB-402A-945C-8CA639F5872B}" name="Unit2" dataDxfId="43" dataCellStyle="Normal 4"/>
    <tableColumn id="4" xr3:uid="{E90306DC-DAE6-4B69-ADF0-2A88BB076254}" name="Source"/>
  </tableColumns>
  <tableStyleInfo name="Emission factor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C364D9-B4B6-452A-9D59-CB6DE6E527F4}" name="Table_2" displayName="Table_2" ref="B34:E35" headerRowDxfId="42" dataDxfId="41" totalsRowDxfId="40">
  <tableColumns count="4">
    <tableColumn id="1" xr3:uid="{9FC749E7-070C-4F11-A23D-0E1AF97BB116}" name="Mode" dataDxfId="39"/>
    <tableColumn id="2" xr3:uid="{5B70EDD7-9A4B-43B5-BEFF-1046C4959E72}" name="Unit" dataDxfId="38"/>
    <tableColumn id="3" xr3:uid="{7BEF6EF4-1F4F-4FE6-AD68-F59B173DADD3}" name="Value" dataDxfId="37"/>
    <tableColumn id="4" xr3:uid="{6238561B-6174-4F05-86F0-9E9C7C30EDBE}" name="Source" dataDxfId="36"/>
  </tableColumns>
  <tableStyleInfo name="Conversion factor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7C7F8B1-3F17-407F-B393-51E2E8268AA2}" name="Table_3" displayName="Table_3" ref="B24:E31" headerRowDxfId="35" dataDxfId="34" totalsRowDxfId="33">
  <tableColumns count="4">
    <tableColumn id="1" xr3:uid="{B48D6281-305D-4327-92A3-2963D3B2BF06}" name="Fuel" dataDxfId="32"/>
    <tableColumn id="2" xr3:uid="{4FF37341-2B6A-4947-97F1-4482FFEE3F78}" name="Unit" dataDxfId="31"/>
    <tableColumn id="3" xr3:uid="{8826874E-E652-4EDC-8D6B-990882FB8F58}" name="Value" dataDxfId="30"/>
    <tableColumn id="4" xr3:uid="{B6FD2A9C-4856-41A7-B04D-F0D318A9795B}" name="Source" dataDxfId="29"/>
  </tableColumns>
  <tableStyleInfo name="Conversion factors-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8EBE0A7-CE3E-4546-84D4-B642305642D6}" name="Table_4" displayName="Table_4" ref="B38:E39" headerRowDxfId="28" dataDxfId="27" totalsRowDxfId="26">
  <tableColumns count="4">
    <tableColumn id="1" xr3:uid="{55E45F53-C4B9-4B2D-966E-96655F3784B7}" name="Mode" dataDxfId="25"/>
    <tableColumn id="2" xr3:uid="{66AE297A-9FC7-461B-B0F1-06286154AD2B}" name="Unit" dataDxfId="24"/>
    <tableColumn id="3" xr3:uid="{C1E48940-BA43-4236-A0CD-220E203BA22C}" name="Value" dataDxfId="23"/>
    <tableColumn id="4" xr3:uid="{4A6E4431-546C-4DA4-8AA1-CFF599A46C5C}" name="Source" dataDxfId="22"/>
  </tableColumns>
  <tableStyleInfo name="Conversion factors-style 3"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BB1C05C-134F-42E4-B8CF-A1CC8852AC70}" name="Table_5" displayName="Table_5" ref="B10:H21" headerRowDxfId="21" dataDxfId="20" totalsRowDxfId="19">
  <tableColumns count="7">
    <tableColumn id="1" xr3:uid="{F69CF0C9-1144-4D6F-A7BC-F573B8BAAEC3}" name="Fuel" dataDxfId="18"/>
    <tableColumn id="2" xr3:uid="{FB345ED7-1A80-4A98-B887-57C18A88327D}" name="Unit" dataDxfId="17"/>
    <tableColumn id="3" xr3:uid="{E83A9DF6-0E5C-45D2-917D-68E12DD3AB5D}" name="Value" dataDxfId="16"/>
    <tableColumn id="4" xr3:uid="{7750126A-5859-4E1E-90A3-2069B8FC0D92}" name="Source" dataDxfId="15"/>
    <tableColumn id="5" xr3:uid="{E08602DC-0C55-44B3-9BEC-FA3C668B1674}" name="Unit[2]" dataDxfId="14"/>
    <tableColumn id="6" xr3:uid="{84819E17-EA22-45E1-B140-3354A7874039}" name="Value[2]" dataDxfId="13"/>
    <tableColumn id="7" xr3:uid="{B59FEC96-8301-4DC1-AC8A-A7510C0D7A61}" name="Source[2]" dataDxfId="12"/>
  </tableColumns>
  <tableStyleInfo name="Conversion factors-style 4"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26A4ED7-DAEB-42E8-8483-860B599F3C90}" name="Table_6" displayName="Table_6" ref="B4:E7" headerRowDxfId="11" dataDxfId="10" totalsRowDxfId="9">
  <tableColumns count="4">
    <tableColumn id="1" xr3:uid="{C2A305AD-B7EC-414B-84D3-BBA0942D856F}" name="Gas" dataDxfId="8"/>
    <tableColumn id="2" xr3:uid="{36C02A01-A407-4DB4-91F9-79602102CDEB}" name="Unit" dataDxfId="7"/>
    <tableColumn id="3" xr3:uid="{E550CE14-1FAA-470E-A0D0-291C6D884E4A}" name="Value" dataDxfId="6"/>
    <tableColumn id="4" xr3:uid="{1B69798B-E3D8-4DEB-ACE7-6D85F431688F}" name="Source" dataDxfId="5"/>
  </tableColumns>
  <tableStyleInfo name="Conversion factors-style 5"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0A52A83-C32F-43F5-9C2C-A2BD27709110}" name="Table_7" displayName="Table_7" ref="B42:C51" headerRowDxfId="4" dataDxfId="3" totalsRowDxfId="2">
  <tableColumns count="2">
    <tableColumn id="1" xr3:uid="{C1D4419E-3355-4B66-AE94-A0EC74E022DC}" name="Unit Conversion" dataDxfId="1"/>
    <tableColumn id="2" xr3:uid="{04BD812E-EC51-49E7-A4FC-936DBBF76056}" name="Value" dataDxfId="0"/>
  </tableColumns>
  <tableStyleInfo name="Conversion factors-style 6" showFirstColumn="1" showLastColumn="1"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 dT="2022-06-06T10:51:24.48" personId="{954CA269-5ECC-4DCB-8351-556829143A5C}" id="{FA0BC2F7-3093-4CDE-9847-FE088AA76366}">
    <text>Average CO2 emissions of 0.2686kgCO2 per mile in 2024 (based on UK Gov data for ‘Passenger vehicles’ - Average Car, Unknown Fuel Type):
https://www.gov.uk/government/statistical-data-sets/nts09-vehicle-mileage-and-occupancy#car-mileage
And each car drives 7,000 miles per annum in 2023 (based on DfT data for ‘All cars’ category): https://www.gov.uk/government/statistical-data-sets/nts09-vehicle-mileage-and-occupancy#car-mileage</text>
    <extLst>
      <x:ext xmlns:xltc2="http://schemas.microsoft.com/office/spreadsheetml/2020/threadedcomments2" uri="{F7C98A9C-CBB3-438F-8F68-D28B6AF4A901}">
        <xltc2:checksum>2553607077</xltc2:checksum>
        <xltc2:hyperlink startIndex="136" length="99" url="https://www.gov.uk/government/statistical-data-sets/nts09-vehicle-mileage-and-occupancy#car-mileage"/>
        <xltc2:hyperlink startIndex="332" length="99" url="https://www.gov.uk/government/statistical-data-sets/nts09-vehicle-mileage-and-occupancy#car-mileage"/>
      </x:ext>
    </extLst>
  </threadedComment>
  <threadedComment ref="F8" dT="2022-06-06T10:57:30.56" personId="{954CA269-5ECC-4DCB-8351-556829143A5C}" id="{A23F1449-8555-49AA-B6F3-319E72DA6498}">
    <text>https://ecotree.green/en/how-much-co2-does-a-tree-absorb</text>
  </threadedComment>
  <threadedComment ref="F10" dT="2022-06-06T10:44:05.47" personId="{954CA269-5ECC-4DCB-8351-556829143A5C}" id="{227A08E7-1508-4086-9B7F-60AA03E32B41}">
    <text>https://www.ofgem.gov.uk/average-gas-and-electricity-usage</text>
    <extLst>
      <x:ext xmlns:xltc2="http://schemas.microsoft.com/office/spreadsheetml/2020/threadedcomments2" uri="{F7C98A9C-CBB3-438F-8F68-D28B6AF4A901}">
        <xltc2:checksum>1120542317</xltc2:checksum>
        <xltc2:hyperlink startIndex="0" length="58" url="https://www.ofgem.gov.uk/average-gas-and-electricity-usage"/>
      </x:ext>
    </extLst>
  </threadedComment>
  <threadedComment ref="F11" dT="2022-06-06T11:40:51.48" personId="{954CA269-5ECC-4DCB-8351-556829143A5C}" id="{3FECC4B3-61E2-4641-9947-A9EE359A61E9}">
    <text>Assumptions:
100,000 km/y average HGV mileage
0.25 kg per km average gas truck fuel consumption
15 kWh per kg biomethane energy content
https://www.gov.uk/government/statistics/road-traffic-estimates-in-great-britain-2020</text>
  </threadedComment>
  <threadedComment ref="F13" dT="2022-10-10T10:08:10.05" personId="{954CA269-5ECC-4DCB-8351-556829143A5C}" id="{94757799-246D-41F0-A3EA-158F38D17ED2}">
    <text xml:space="preserve">Based on Ofgem's Typical Domestic Consumption Values (TDCV) of 2,900kWh of electricity, see https://www.ofgem.gov.uk/cy/publications/ofgem-updates-price-cap-level-and-tightens-rules-suppliers
Also note this is now 12,000kWh of gas </text>
  </threadedComment>
  <threadedComment ref="F14" dT="2022-10-10T10:10:14.36" personId="{954CA269-5ECC-4DCB-8351-556829143A5C}" id="{4AC285A8-5E39-4310-8D66-A55B1ECA12F6}">
    <text>Average efficiency of CCGT in UK - see https://www.statista.com/statistics/548943/thermal-efficiency-gas-turbine-stations-uk/</text>
  </threadedComment>
  <threadedComment ref="B61" dT="2021-10-21T20:04:49.29" personId="{954CA269-5ECC-4DCB-8351-556829143A5C}" id="{05BEBD87-70D0-4719-A883-EC30E51DB72E}">
    <text>GCV used for consistency.
Ofgem carbon calc may require LHV - needs double-checking as not clear.</text>
  </threadedComment>
</ThreadedComments>
</file>

<file path=xl/threadedComments/threadedComment2.xml><?xml version="1.0" encoding="utf-8"?>
<ThreadedComments xmlns="http://schemas.microsoft.com/office/spreadsheetml/2018/threadedcomments" xmlns:x="http://schemas.openxmlformats.org/spreadsheetml/2006/main">
  <threadedComment ref="AS7" dT="2022-06-06T10:51:24.48" personId="{954CA269-5ECC-4DCB-8351-556829143A5C}" id="{2CCA60BD-CF11-4880-9018-1C123E163073}">
    <text>Average CO2 emissions of 0.2686kgCO2 per mile in 2024 (based on UK Gov data for ‘Passenger vehicles’ - Average Car, Unknown Fuel Type):
https://www.gov.uk/government/statistical-data-sets/nts09-vehicle-mileage-and-occupancy#car-mileage
And each car drives 7,000 miles per annum in 2023 (based on DfT data for ‘All cars’ category): https://www.gov.uk/government/statistical-data-sets/nts09-vehicle-mileage-and-occupancy#car-mileage</text>
    <extLst>
      <x:ext xmlns:xltc2="http://schemas.microsoft.com/office/spreadsheetml/2020/threadedcomments2" uri="{F7C98A9C-CBB3-438F-8F68-D28B6AF4A901}">
        <xltc2:checksum>2553607077</xltc2:checksum>
        <xltc2:hyperlink startIndex="136" length="99" url="https://www.gov.uk/government/statistical-data-sets/nts09-vehicle-mileage-and-occupancy#car-mileage"/>
        <xltc2:hyperlink startIndex="332" length="99" url="https://www.gov.uk/government/statistical-data-sets/nts09-vehicle-mileage-and-occupancy#car-mileage"/>
      </x:ext>
    </extLst>
  </threadedComment>
  <threadedComment ref="AS8" dT="2022-06-06T10:57:30.56" personId="{954CA269-5ECC-4DCB-8351-556829143A5C}" id="{C5150162-BB32-4075-8733-3577A9475BE8}">
    <text>https://ecotree.green/en/how-much-co2-does-a-tree-absorb</text>
  </threadedComment>
  <threadedComment ref="AS10" dT="2022-06-06T10:44:05.47" personId="{954CA269-5ECC-4DCB-8351-556829143A5C}" id="{5CEF7148-A1C5-4D0D-9250-5B2308EB06D3}">
    <text>https://www.ofgem.gov.uk/average-gas-and-electricity-usage</text>
    <extLst>
      <x:ext xmlns:xltc2="http://schemas.microsoft.com/office/spreadsheetml/2020/threadedcomments2" uri="{F7C98A9C-CBB3-438F-8F68-D28B6AF4A901}">
        <xltc2:checksum>1120542317</xltc2:checksum>
        <xltc2:hyperlink startIndex="0" length="58" url="https://www.ofgem.gov.uk/average-gas-and-electricity-usage"/>
      </x:ext>
    </extLst>
  </threadedComment>
  <threadedComment ref="AS11" dT="2022-06-06T11:40:51.48" personId="{954CA269-5ECC-4DCB-8351-556829143A5C}" id="{1F23F436-121B-4063-A07D-EA4BA69C75A8}">
    <text>Assumptions:
100,000 km/y average HGV mileage
0.25 kg per km average gas truck fuel consumption
15 kWh per kg biomethane energy content
https://www.gov.uk/government/statistics/road-traffic-estimates-in-great-britain-2020</text>
  </threadedComment>
  <threadedComment ref="C13" dT="2023-05-22T09:06:37.06" personId="{954CA269-5ECC-4DCB-8351-556829143A5C}" id="{FEBB24BB-47E4-4907-8B93-A2D549DA0296}">
    <text>Includes straw pre-treatment</text>
  </threadedComment>
  <threadedComment ref="AS13" dT="2022-10-10T10:08:10.05" personId="{954CA269-5ECC-4DCB-8351-556829143A5C}" id="{89C138B9-DFD9-4250-89E1-AD2235502FAB}">
    <text xml:space="preserve">Based on Ofgem's Typical Domestic Consumption Values (TDCV) of 2,900kWh of electricity, see https://www.ofgem.gov.uk/cy/publications/ofgem-updates-price-cap-level-and-tightens-rules-suppliers
Also note this is now 12,000kWh of gas </text>
  </threadedComment>
  <threadedComment ref="AS14" dT="2022-10-10T10:10:14.36" personId="{954CA269-5ECC-4DCB-8351-556829143A5C}" id="{DFF0CD5E-AC0B-4C61-AE45-EB07A268955E}">
    <text>Average efficiency of CCGT in UK - see https://www.statista.com/statistics/548943/thermal-efficiency-gas-turbine-stations-uk/</text>
  </threadedComment>
  <threadedComment ref="AO62" dT="2021-10-21T20:04:49.29" personId="{954CA269-5ECC-4DCB-8351-556829143A5C}" id="{88E3CA7B-EF1A-49A6-8DC4-7760AC1E0604}">
    <text>GCV used for consistency.
Ofgem carbon calc may require LHV - needs double-checking as not clear.</text>
  </threadedComment>
</ThreadedComments>
</file>

<file path=xl/threadedComments/threadedComment3.xml><?xml version="1.0" encoding="utf-8"?>
<ThreadedComments xmlns="http://schemas.microsoft.com/office/spreadsheetml/2018/threadedcomments" xmlns:x="http://schemas.openxmlformats.org/spreadsheetml/2006/main">
  <threadedComment ref="C31" dT="2024-12-13T17:36:45.84" personId="{13364C88-4290-452B-BD75-DFDAA98FAE6C}" id="{CB7C8A36-CD11-43B6-8DB1-E8828E17F7D0}">
    <text xml:space="preserve">@Jose Batista this value has been hard coded. Check </text>
    <mentions>
      <mention mentionpersonId="{1FC47217-D4B9-40FB-A7A6-BC7150E3AE60}" mentionId="{DED6D0F7-FD98-487C-A6F5-68F3E4DA1A31}" startIndex="0" length="13"/>
    </mentions>
  </threadedComment>
</ThreadedComments>
</file>

<file path=xl/threadedComments/threadedComment4.xml><?xml version="1.0" encoding="utf-8"?>
<ThreadedComments xmlns="http://schemas.microsoft.com/office/spreadsheetml/2018/threadedcomments" xmlns:x="http://schemas.openxmlformats.org/spreadsheetml/2006/main">
  <threadedComment ref="C4" dT="2023-05-22T09:50:05.14" personId="{954CA269-5ECC-4DCB-8351-556829143A5C}" id="{C0037885-15B2-4472-B8BF-16CD37410269}">
    <text>Straw Pre-Treatment Type 1</text>
  </threadedComment>
  <threadedComment ref="C16" dT="2023-02-02T23:01:29.92" personId="{954CA269-5ECC-4DCB-8351-556829143A5C}" id="{3B39D255-8D6B-41F6-9DEE-E6C051FAB88E}">
    <text>TO BE CONFIRMED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5" Type="http://schemas.microsoft.com/office/2019/04/relationships/documenttask" Target="../documenttasks/documenttask1.xml"/><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traditionaloven.com/conversions_of_measures/gas_flows_converter_tool.html" TargetMode="External"/><Relationship Id="rId3" Type="http://schemas.openxmlformats.org/officeDocument/2006/relationships/hyperlink" Target="https://www.engineeringtoolbox.com/fuels-higher-calorific-values-d_169.html" TargetMode="External"/><Relationship Id="rId7" Type="http://schemas.openxmlformats.org/officeDocument/2006/relationships/hyperlink" Target="https://www.traditionaloven.com/conversions_of_measures/gas_flows_converter_tool.html" TargetMode="External"/><Relationship Id="rId2" Type="http://schemas.openxmlformats.org/officeDocument/2006/relationships/hyperlink" Target="https://www.engineeringtoolbox.com/fuels-higher-calorific-values-d_169.html" TargetMode="External"/><Relationship Id="rId1" Type="http://schemas.openxmlformats.org/officeDocument/2006/relationships/hyperlink" Target="https://checalc.com/solved/volconv.html" TargetMode="External"/><Relationship Id="rId6" Type="http://schemas.openxmlformats.org/officeDocument/2006/relationships/hyperlink" Target="https://cdm.unfccc.int/methodologies/inputsconsmeth/MGM_methane.pdf" TargetMode="External"/><Relationship Id="rId11" Type="http://schemas.openxmlformats.org/officeDocument/2006/relationships/comments" Target="../comments7.xml"/><Relationship Id="rId5" Type="http://schemas.openxmlformats.org/officeDocument/2006/relationships/hyperlink" Target="https://www.traditionaloven.com/conversions_of_measures/gas_flows_converter_tool.html" TargetMode="External"/><Relationship Id="rId10" Type="http://schemas.openxmlformats.org/officeDocument/2006/relationships/vmlDrawing" Target="../drawings/vmlDrawing7.vml"/><Relationship Id="rId4" Type="http://schemas.openxmlformats.org/officeDocument/2006/relationships/hyperlink" Target="https://www.engineeringtoolbox.com/fuels-higher-calorific-values-d_169.html" TargetMode="External"/><Relationship Id="rId9" Type="http://schemas.openxmlformats.org/officeDocument/2006/relationships/hyperlink" Target="https://www.engineeringtoolbox.com/CO2-carbon-dioxide-properties-d_2017.html"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6.bin"/><Relationship Id="rId1" Type="http://schemas.openxmlformats.org/officeDocument/2006/relationships/hyperlink" Target="https://www.epa.gov/sites/production/files/2015-07/documents/emission-factors_2014.pdf" TargetMode="External"/><Relationship Id="rId5" Type="http://schemas.openxmlformats.org/officeDocument/2006/relationships/comments" Target="../comments8.xml"/><Relationship Id="rId4" Type="http://schemas.openxmlformats.org/officeDocument/2006/relationships/table" Target="../tables/table1.xml"/></Relationships>
</file>

<file path=xl/worksheets/_rels/sheet9.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www.engineeringtoolbox.com/fuels-higher-calorific-values-d_169.html" TargetMode="External"/><Relationship Id="rId7" Type="http://schemas.openxmlformats.org/officeDocument/2006/relationships/table" Target="../tables/table2.xml"/><Relationship Id="rId12" Type="http://schemas.openxmlformats.org/officeDocument/2006/relationships/table" Target="../tables/table7.xml"/><Relationship Id="rId2" Type="http://schemas.openxmlformats.org/officeDocument/2006/relationships/hyperlink" Target="http://www.engineeringtoolbox.com/fuels-higher-calorific-values-d_169.html" TargetMode="External"/><Relationship Id="rId1" Type="http://schemas.openxmlformats.org/officeDocument/2006/relationships/hyperlink" Target="http://www.engineeringtoolbox.com/fuels-higher-calorific-values-d_169.html" TargetMode="External"/><Relationship Id="rId6" Type="http://schemas.openxmlformats.org/officeDocument/2006/relationships/hyperlink" Target="https://www.gov.uk/government/statistics/dukes-calorific-values" TargetMode="External"/><Relationship Id="rId11" Type="http://schemas.openxmlformats.org/officeDocument/2006/relationships/table" Target="../tables/table6.xml"/><Relationship Id="rId5" Type="http://schemas.openxmlformats.org/officeDocument/2006/relationships/hyperlink" Target="http://www.engineeringtoolbox.com/gas-density-d_158.html" TargetMode="External"/><Relationship Id="rId10" Type="http://schemas.openxmlformats.org/officeDocument/2006/relationships/table" Target="../tables/table5.xml"/><Relationship Id="rId4" Type="http://schemas.openxmlformats.org/officeDocument/2006/relationships/hyperlink" Target="http://www.engineeringtoolbox.com/fuels-higher-calorific-values-d_169.html" TargetMode="External"/><Relationship Id="rId9" Type="http://schemas.openxmlformats.org/officeDocument/2006/relationships/table" Target="../tables/table4.xml"/></Relationships>
</file>

<file path=xl/worksheets/_rels/sheet10.xml.rels><?xml version="1.0" encoding="UTF-8" standalone="yes"?>
<Relationships xmlns="http://schemas.openxmlformats.org/package/2006/relationships"><Relationship Id="rId1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TargetMode="External"/><Relationship Id="rId18"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6GS%2DBL%2Epdf&amp;parent=%2Fsites%2FAcornBioenergySharedFiles%2FShared%20Documents%2FEngineering%2FTechnology%20Providers%2D%20Supply%20chain%2FCombined%20Heat%20and%20Power%2FJennbacher" TargetMode="External"/><Relationship Id="rId26"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39"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TargetMode="External"/><Relationship Id="rId21"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34"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TargetMode="External"/><Relationship Id="rId42" Type="http://schemas.openxmlformats.org/officeDocument/2006/relationships/hyperlink" Target="https://www.hampshiregenerators.co.uk/product/generators/diesel-generators/500kva-open-diesel-generator-perkins-2506a-e15tag2-diesel-engine/" TargetMode="External"/><Relationship Id="rId4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Flexi%20530%2Ezip&amp;viewid=0e0ef426%2Dc1e6%2D4377%2D9f4c%2D0d63ebf2e2ce&amp;parent=%2Fsites%2FAcornBioenergySharedFiles%2FShared%20Documents%2FEngineering%2FTechnology%20Providers%2D%20Supply%20chain%2FCombined%20Heat%20and%20Power%2FTedom%20%28KM%20Cogeneration%29" TargetMode="External"/><Relationship Id="rId50" Type="http://schemas.openxmlformats.org/officeDocument/2006/relationships/hyperlink" Target="https://www.yorpower.com/generators/1250kva-silent-generator/" TargetMode="External"/><Relationship Id="rId55"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Shenton%29%2FAcorn%2E%201051040%20%2D%20800kWe%20BIO%2Epdf&amp;parent=%2Fsites%2FAcornBioenergySharedFiles%2FShared%20Documents%2FEngineering%2FTechnology%20Providers%2D%20Supply%20chain%2FCombined%20Heat%20and%20Power%2FTedom%20%28Shenton%29" TargetMode="External"/><Relationship Id="rId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TargetMode="External"/><Relationship Id="rId2"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TargetMode="External"/><Relationship Id="rId16"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TargetMode="External"/><Relationship Id="rId29"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TargetMode="External"/><Relationship Id="rId11"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24"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32"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3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40"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TargetMode="External"/><Relationship Id="rId45" Type="http://schemas.openxmlformats.org/officeDocument/2006/relationships/hyperlink" Target="https://www.generatorsas.co.uk/product/tj738dw5a-teksan-doosan-generator-738kva/" TargetMode="External"/><Relationship Id="rId5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Natural%20Gas%2FTS%5FCHP%5FQuanto%5F600%5FMWM%5FNG%5FOM%5FSE%5FC%5FLB%5F50Hz%5FS%5F500%5FEN%2Epdf&amp;viewid=0e0ef426%2Dc1e6%2D4377%2D9f4c%2D0d63ebf2e2ce&amp;parent=%2Fsites%2FAcornBioenergySharedFiles%2FShared%20Documents%2FEngineering%2FTechnology%20Providers%2D%20Supply%20chain%2FCombined%20Heat%20and%20Power%2FTedom%20%28KM%20Cogeneration%29%2FNatural%20Gas" TargetMode="External"/><Relationship Id="rId58"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Quanto%201600%2Ezip&amp;viewid=0e0ef426%2Dc1e6%2D4377%2D9f4c%2D0d63ebf2e2ce&amp;parent=%2Fsites%2FAcornBioenergySharedFiles%2FShared%20Documents%2FEngineering%2FTechnology%20Providers%2D%20Supply%20chain%2FCombined%20Heat%20and%20Power%2FTedom%20%28KM%20Cogeneration%29" TargetMode="External"/><Relationship Id="rId5"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612GS%2DBL%2Epdf&amp;parent=%2Fsites%2FAcornBioenergySharedFiles%2FShared%20Documents%2FEngineering%2FTechnology%20Providers%2D%20Supply%20chain%2FCombined%20Heat%20and%20Power%2FJennbacher" TargetMode="External"/><Relationship Id="rId19"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TargetMode="External"/><Relationship Id="rId4"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TargetMode="External"/><Relationship Id="rId9"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2G%2FTSP%5Fct80%2D1%5F50Hz%5F400V%5F250NOx%5F%5F2263462%2Epdf&amp;parent=%2Fsites%2FAcornBioenergySharedFiles%2FShared%20Documents%2FEngineering%2FTechnology%20Providers%2D%20Supply%20chain%2FCombined%20Heat%20and%20Power%2F2G" TargetMode="External"/><Relationship Id="rId14"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TargetMode="External"/><Relationship Id="rId22"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2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TargetMode="External"/><Relationship Id="rId30"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TargetMode="External"/><Relationship Id="rId35"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4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Shenton%29%2FAcorn%2E%201051040%20%2D%20800kWe%20BIO%2Epdf&amp;parent=%2Fsites%2FAcornBioenergySharedFiles%2FShared%20Documents%2FEngineering%2FTechnology%20Providers%2D%20Supply%20chain%2FCombined%20Heat%20and%20Power%2FTedom%20%28Shenton%29" TargetMode="External"/><Relationship Id="rId48"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Quanto%201800%2Ezip&amp;viewid=0e0ef426%2Dc1e6%2D4377%2D9f4c%2D0d63ebf2e2ce&amp;parent=%2Fsites%2FAcornBioenergySharedFiles%2FShared%20Documents%2FEngineering%2FTechnology%20Providers%2D%20Supply%20chain%2FCombined%20Heat%20and%20Power%2FTedom%20%28KM%20Cogeneration%29" TargetMode="External"/><Relationship Id="rId56"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Quanto%201600%2Ezip&amp;viewid=0e0ef426%2Dc1e6%2D4377%2D9f4c%2D0d63ebf2e2ce&amp;parent=%2Fsites%2FAcornBioenergySharedFiles%2FShared%20Documents%2FEngineering%2FTechnology%20Providers%2D%20Supply%20chain%2FCombined%20Heat%20and%20Power%2FTedom%20%28KM%20Cogeneration%29" TargetMode="External"/><Relationship Id="rId8"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6GS%2DBL%2Epdf&amp;parent=%2Fsites%2FAcornBioenergySharedFiles%2FShared%20Documents%2FEngineering%2FTechnology%20Providers%2D%20Supply%20chain%2FCombined%20Heat%20and%20Power%2FJennbacher" TargetMode="External"/><Relationship Id="rId51" Type="http://schemas.openxmlformats.org/officeDocument/2006/relationships/hyperlink" Target="https://www.yorpower.com/generators/1500kva-containerised-diesel-generator/" TargetMode="External"/><Relationship Id="rId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TargetMode="External"/><Relationship Id="rId12"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TargetMode="External"/><Relationship Id="rId1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TargetMode="External"/><Relationship Id="rId25"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3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TargetMode="External"/><Relationship Id="rId38"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46"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Flexi%20530%2Ezip&amp;viewid=0e0ef426%2Dc1e6%2D4377%2D9f4c%2D0d63ebf2e2ce&amp;parent=%2Fsites%2FAcornBioenergySharedFiles%2FShared%20Documents%2FEngineering%2FTechnology%20Providers%2D%20Supply%20chain%2FCombined%20Heat%20and%20Power%2FTedom%20%28KM%20Cogeneration%29" TargetMode="External"/><Relationship Id="rId59" Type="http://schemas.openxmlformats.org/officeDocument/2006/relationships/vmlDrawing" Target="../drawings/vmlDrawing9.vml"/><Relationship Id="rId20"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TargetMode="External"/><Relationship Id="rId41" Type="http://schemas.openxmlformats.org/officeDocument/2006/relationships/hyperlink" Target="../../../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TargetMode="External"/><Relationship Id="rId54"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Flexi%20530%2Ezip&amp;viewid=0e0ef426%2Dc1e6%2D4377%2D9f4c%2D0d63ebf2e2ce&amp;parent=%2Fsites%2FAcornBioenergySharedFiles%2FShared%20Documents%2FEngineering%2FTechnology%20Providers%2D%20Supply%20chain%2FCombined%20Heat%20and%20Power%2FTedom%20%28KM%20Cogeneration%29" TargetMode="External"/><Relationship Id="rId1"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6"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TargetMode="External"/><Relationship Id="rId15"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612GS%2DBL%2Epdf&amp;parent=%2Fsites%2FAcornBioenergySharedFiles%2FShared%20Documents%2FEngineering%2FTechnology%20Providers%2D%20Supply%20chain%2FCombined%20Heat%20and%20Power%2FJennbacher" TargetMode="External"/><Relationship Id="rId23"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28"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TargetMode="External"/><Relationship Id="rId36"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TargetMode="External"/><Relationship Id="rId49"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Quanto%201800%2Ezip&amp;viewid=0e0ef426%2Dc1e6%2D4377%2D9f4c%2D0d63ebf2e2ce&amp;parent=%2Fsites%2FAcornBioenergySharedFiles%2FShared%20Documents%2FEngineering%2FTechnology%20Providers%2D%20Supply%20chain%2FCombined%20Heat%20and%20Power%2FTedom%20%28KM%20Cogeneration%29" TargetMode="External"/><Relationship Id="rId57"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Supporting%20Docs%20Flexi%20530%2Ezip&amp;viewid=0e0ef426%2Dc1e6%2D4377%2D9f4c%2D0d63ebf2e2ce&amp;parent=%2Fsites%2FAcornBioenergySharedFiles%2FShared%20Documents%2FEngineering%2FTechnology%20Providers%2D%20Supply%20chain%2FCombined%20Heat%20and%20Power%2FTedom%20%28KM%20Cogeneration%29" TargetMode="External"/><Relationship Id="rId10"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2G%2FTSP%5F12V4000%20L64FNER%5F50Hz%5F400V%5F250NOx%5FMZ70%5F%5F2686765%2Epdf&amp;parent=%2Fsites%2FAcornBioenergySharedFiles%2FShared%20Documents%2FEngineering%2FTechnology%20Providers%2D%20Supply%20chain%2FCombined%20Heat%20and%20Power%2F2G" TargetMode="External"/><Relationship Id="rId31"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TargetMode="External"/><Relationship Id="rId44" Type="http://schemas.openxmlformats.org/officeDocument/2006/relationships/hyperlink" Target="https://www.hampshiregenerators.co.uk/product/generators/diesel-generators/500kva-open-diesel-generator-perkins-2506a-e15tag2-diesel-engine/" TargetMode="External"/><Relationship Id="rId52" Type="http://schemas.openxmlformats.org/officeDocument/2006/relationships/hyperlink" Target="../../../Forms/AllItems.aspx?FolderCTID=0x01200070B1B10FC52D944287762339E7C61DCC&amp;id=%2Fsites%2FAcornBioenergySharedFiles%2FShared%20Documents%2FEngineering%2FTechnology%20Providers%2D%20Supply%20chain%2FCombined%20Heat%20and%20Power%2FTedom%20%28KM%20Cogeneration%29%2FNatural%20Gas%2FTS%5FCHP%5FQuanto%5F600%5FMWM%5FNG%5FOM%5FSE%5FC%5FLB%5F50Hz%5FS%5F500%5FEN%2Epdf&amp;viewid=0e0ef426%2Dc1e6%2D4377%2D9f4c%2D0d63ebf2e2ce&amp;parent=%2Fsites%2FAcornBioenergySharedFiles%2FShared%20Documents%2FEngineering%2FTechnology%20Providers%2D%20Supply%20chain%2FCombined%20Heat%20and%20Power%2FTedom%20%28KM%20Cogeneration%29%2FNatural%20Gas" TargetMode="External"/><Relationship Id="rId60"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hyperlink" Target="../../../../../:b:/s/AcornBioenergySharedFiles/EV4R0uS95oFKgBjiqM1tWlkBtat0Hn48I_JSq4sDXv9FDA?e=vxnSt9" TargetMode="External"/><Relationship Id="rId7" Type="http://schemas.microsoft.com/office/2017/10/relationships/threadedComment" Target="../threadedComments/threadedComment4.xml"/><Relationship Id="rId2" Type="http://schemas.openxmlformats.org/officeDocument/2006/relationships/hyperlink" Target="../../../../../:b:/s/AcornBioenergySharedFiles/EW_awLvGbAFBkhlOUxcEaCoBmKIaVuifT5qBs6ld8YKY0Q?e=1qwnfV" TargetMode="External"/><Relationship Id="rId1" Type="http://schemas.openxmlformats.org/officeDocument/2006/relationships/hyperlink" Target="../../../../../:b:/s/AcornBioenergySharedFiles/EXCsOKZXYj9OmFjbM2BVSZgB3-rAhEfHHaNSa3l4U75eQA?e=ql41HD"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0463-9B95-4F28-BE38-887E2D070602}">
  <sheetPr>
    <tabColor theme="9"/>
    <pageSetUpPr fitToPage="1"/>
  </sheetPr>
  <dimension ref="A1:M86"/>
  <sheetViews>
    <sheetView zoomScale="130" zoomScaleNormal="130" workbookViewId="0">
      <selection activeCell="B15" sqref="B15"/>
    </sheetView>
  </sheetViews>
  <sheetFormatPr defaultColWidth="8.54296875" defaultRowHeight="14.5" x14ac:dyDescent="0.35"/>
  <cols>
    <col min="1" max="1" width="8.54296875" style="28" customWidth="1"/>
    <col min="2" max="2" width="45.453125" style="28" customWidth="1"/>
    <col min="3" max="3" width="15.54296875" style="28" customWidth="1"/>
    <col min="4" max="4" width="27.453125" style="28" customWidth="1"/>
    <col min="5" max="5" width="6" style="28" customWidth="1"/>
    <col min="6" max="6" width="12.54296875" style="28" customWidth="1"/>
    <col min="7" max="7" width="10.453125" style="28" customWidth="1"/>
    <col min="8" max="10" width="8.54296875" style="28"/>
    <col min="11" max="11" width="10.90625" style="28" customWidth="1"/>
    <col min="12" max="16345" width="8.54296875" style="28"/>
    <col min="16346" max="16384" width="8.54296875" style="28" bestFit="1"/>
  </cols>
  <sheetData>
    <row r="1" spans="1:13" ht="18.5" customHeight="1" x14ac:dyDescent="0.35"/>
    <row r="2" spans="1:13" ht="16.5" customHeight="1" x14ac:dyDescent="0.35"/>
    <row r="3" spans="1:13" ht="18.5" x14ac:dyDescent="0.45">
      <c r="B3" s="610" t="s">
        <v>884</v>
      </c>
      <c r="F3" s="610" t="s">
        <v>885</v>
      </c>
    </row>
    <row r="4" spans="1:13" ht="18.649999999999999" customHeight="1" x14ac:dyDescent="0.45">
      <c r="B4" s="617" t="s">
        <v>336</v>
      </c>
      <c r="C4" s="618">
        <f>'Energy centre'!E7</f>
        <v>20217254.527006254</v>
      </c>
      <c r="D4" s="617" t="s">
        <v>813</v>
      </c>
      <c r="F4" s="709">
        <v>0.18290000000000001</v>
      </c>
      <c r="G4" s="28" t="s">
        <v>821</v>
      </c>
      <c r="L4" s="707">
        <f>F4/3.6*1000</f>
        <v>50.805555555555557</v>
      </c>
      <c r="M4" s="707" t="s">
        <v>849</v>
      </c>
    </row>
    <row r="5" spans="1:13" ht="15" customHeight="1" x14ac:dyDescent="0.45">
      <c r="A5" s="29"/>
      <c r="B5" s="617" t="s">
        <v>844</v>
      </c>
      <c r="C5" s="618">
        <f>'Energy centre'!U7</f>
        <v>9996036.8619915657</v>
      </c>
      <c r="D5" s="617" t="s">
        <v>814</v>
      </c>
      <c r="F5" s="709">
        <f>0.03021-F18</f>
        <v>2.9201999999999999E-2</v>
      </c>
      <c r="G5" s="28" t="s">
        <v>818</v>
      </c>
      <c r="L5" s="707">
        <f>F5/3.6*1000</f>
        <v>8.1116666666666664</v>
      </c>
      <c r="M5" s="707" t="s">
        <v>849</v>
      </c>
    </row>
    <row r="6" spans="1:13" ht="15" customHeight="1" x14ac:dyDescent="0.45">
      <c r="B6" s="617" t="s">
        <v>99</v>
      </c>
      <c r="C6" s="618">
        <f>'Energy centre'!U11</f>
        <v>107277250.88664715</v>
      </c>
      <c r="D6" s="617" t="s">
        <v>807</v>
      </c>
      <c r="F6" s="710">
        <f>F4+F5</f>
        <v>0.21210200000000001</v>
      </c>
      <c r="G6" s="28" t="s">
        <v>819</v>
      </c>
      <c r="L6" s="707">
        <f>L4+L5</f>
        <v>58.917222222222222</v>
      </c>
      <c r="M6" s="707" t="s">
        <v>849</v>
      </c>
    </row>
    <row r="7" spans="1:13" ht="16.5" x14ac:dyDescent="0.35">
      <c r="B7" s="617" t="s">
        <v>810</v>
      </c>
      <c r="C7" s="618">
        <f>'Feed + carbon calculator'!FS21</f>
        <v>-5934781.6772158109</v>
      </c>
      <c r="D7" s="617" t="s">
        <v>812</v>
      </c>
      <c r="F7" s="645">
        <f>7000*0.2686/1000</f>
        <v>1.8802000000000001</v>
      </c>
      <c r="G7" s="28" t="s">
        <v>110</v>
      </c>
    </row>
    <row r="8" spans="1:13" ht="16.5" x14ac:dyDescent="0.35">
      <c r="B8" s="617" t="s">
        <v>811</v>
      </c>
      <c r="C8" s="618">
        <f>F6*C6</f>
        <v>22753719.467559636</v>
      </c>
      <c r="D8" s="617" t="s">
        <v>812</v>
      </c>
      <c r="F8" s="644">
        <v>25</v>
      </c>
      <c r="G8" s="28" t="s">
        <v>111</v>
      </c>
    </row>
    <row r="9" spans="1:13" ht="15" customHeight="1" x14ac:dyDescent="0.35">
      <c r="B9" s="617" t="s">
        <v>103</v>
      </c>
      <c r="C9" s="620">
        <f>C7-C8</f>
        <v>-28688501.144775447</v>
      </c>
      <c r="D9" s="617" t="s">
        <v>812</v>
      </c>
      <c r="F9" s="644">
        <f>F8/1000</f>
        <v>2.5000000000000001E-2</v>
      </c>
      <c r="G9" s="28" t="s">
        <v>112</v>
      </c>
    </row>
    <row r="10" spans="1:13" ht="16.5" customHeight="1" x14ac:dyDescent="0.35">
      <c r="B10" s="617" t="s">
        <v>102</v>
      </c>
      <c r="C10" s="619">
        <f>(C7-C8)/C8</f>
        <v>-1.2608268808832388</v>
      </c>
      <c r="D10" s="617"/>
      <c r="F10" s="644">
        <v>11500</v>
      </c>
      <c r="G10" s="28" t="s">
        <v>772</v>
      </c>
    </row>
    <row r="11" spans="1:13" ht="16" customHeight="1" x14ac:dyDescent="0.45">
      <c r="B11" s="614" t="s">
        <v>815</v>
      </c>
      <c r="C11" s="615">
        <f>-C9/$F$8</f>
        <v>1147540.0457910178</v>
      </c>
      <c r="D11" s="28" t="s">
        <v>105</v>
      </c>
      <c r="F11" s="644">
        <f>100000*0.25*15</f>
        <v>375000</v>
      </c>
      <c r="G11" s="28" t="s">
        <v>773</v>
      </c>
    </row>
    <row r="12" spans="1:13" ht="18" customHeight="1" x14ac:dyDescent="0.45">
      <c r="B12" s="616" t="s">
        <v>106</v>
      </c>
      <c r="C12" s="615">
        <f>C11/1348</f>
        <v>851.29083515654145</v>
      </c>
      <c r="D12" s="28" t="s">
        <v>107</v>
      </c>
      <c r="F12" s="644">
        <v>87.64</v>
      </c>
      <c r="G12" s="28" t="s">
        <v>820</v>
      </c>
    </row>
    <row r="13" spans="1:13" ht="17.5" customHeight="1" x14ac:dyDescent="0.45">
      <c r="B13" s="614" t="s">
        <v>816</v>
      </c>
      <c r="C13" s="647">
        <f>-C9/$F$7/1000</f>
        <v>15258.217819793343</v>
      </c>
      <c r="D13" s="28" t="s">
        <v>108</v>
      </c>
      <c r="E13" s="83"/>
      <c r="F13" s="644">
        <v>2.9</v>
      </c>
      <c r="G13" s="28" t="s">
        <v>771</v>
      </c>
    </row>
    <row r="14" spans="1:13" x14ac:dyDescent="0.35">
      <c r="B14" s="614" t="s">
        <v>228</v>
      </c>
      <c r="C14" s="615">
        <f>C6/$F$10</f>
        <v>9328.4565988388822</v>
      </c>
      <c r="D14" s="613" t="s">
        <v>109</v>
      </c>
      <c r="F14" s="646">
        <v>0.499</v>
      </c>
      <c r="G14" s="28" t="s">
        <v>227</v>
      </c>
    </row>
    <row r="15" spans="1:13" ht="19.399999999999999" customHeight="1" x14ac:dyDescent="0.35">
      <c r="B15" s="614" t="s">
        <v>226</v>
      </c>
      <c r="C15" s="615">
        <f>C6*F14/F13/1000</f>
        <v>18459.085583598942</v>
      </c>
      <c r="D15" s="613" t="s">
        <v>109</v>
      </c>
    </row>
    <row r="16" spans="1:13" x14ac:dyDescent="0.35">
      <c r="F16" s="708">
        <v>0.01</v>
      </c>
      <c r="G16" s="28" t="s">
        <v>848</v>
      </c>
    </row>
    <row r="17" spans="2:7" ht="18.649999999999999" customHeight="1" x14ac:dyDescent="0.45">
      <c r="C17" s="83"/>
      <c r="D17" s="84"/>
      <c r="F17" s="708">
        <f>F16*GHG_Emissions!E46</f>
        <v>0.28000000000000003</v>
      </c>
      <c r="G17" s="28" t="s">
        <v>847</v>
      </c>
    </row>
    <row r="18" spans="2:7" ht="18.5" x14ac:dyDescent="0.45">
      <c r="B18" s="674" t="s">
        <v>817</v>
      </c>
      <c r="C18" s="675">
        <v>1</v>
      </c>
      <c r="D18" s="84"/>
      <c r="F18" s="708">
        <f>F17*3.6/1000</f>
        <v>1.0080000000000002E-3</v>
      </c>
      <c r="G18" s="28" t="s">
        <v>845</v>
      </c>
    </row>
    <row r="19" spans="2:7" ht="18.5" x14ac:dyDescent="0.45">
      <c r="B19" s="82"/>
      <c r="C19" s="83"/>
      <c r="D19" s="84"/>
      <c r="F19" s="123"/>
    </row>
    <row r="20" spans="2:7" ht="15.5" x14ac:dyDescent="0.35">
      <c r="B20" s="82"/>
    </row>
    <row r="21" spans="2:7" ht="19.399999999999999" customHeight="1" x14ac:dyDescent="0.35">
      <c r="B21" s="82"/>
      <c r="C21" s="28">
        <f>C8/C6</f>
        <v>0.21210200000000001</v>
      </c>
    </row>
    <row r="22" spans="2:7" ht="18.75" customHeight="1" x14ac:dyDescent="0.45">
      <c r="B22" s="82"/>
      <c r="C22" s="104"/>
      <c r="D22" s="84"/>
    </row>
    <row r="23" spans="2:7" ht="18.5" x14ac:dyDescent="0.45">
      <c r="B23" s="82"/>
      <c r="C23" s="105"/>
    </row>
    <row r="24" spans="2:7" ht="18.5" x14ac:dyDescent="0.45">
      <c r="B24" s="82"/>
      <c r="C24" s="104"/>
      <c r="D24" s="84"/>
    </row>
    <row r="25" spans="2:7" ht="18.5" x14ac:dyDescent="0.45">
      <c r="B25" s="82"/>
      <c r="C25" s="105"/>
    </row>
    <row r="26" spans="2:7" ht="18.649999999999999" customHeight="1" x14ac:dyDescent="0.35"/>
    <row r="27" spans="2:7" ht="20.149999999999999" customHeight="1" x14ac:dyDescent="0.35"/>
    <row r="28" spans="2:7" ht="19.5" customHeight="1" x14ac:dyDescent="0.35">
      <c r="B28" s="110"/>
      <c r="C28"/>
      <c r="D28"/>
      <c r="E28"/>
    </row>
    <row r="29" spans="2:7" ht="18.649999999999999" customHeight="1" x14ac:dyDescent="0.45">
      <c r="B29" s="112"/>
      <c r="C29" s="113"/>
      <c r="D29" s="114"/>
      <c r="E29"/>
    </row>
    <row r="30" spans="2:7" ht="18.5" x14ac:dyDescent="0.45">
      <c r="B30" s="112"/>
      <c r="C30" s="113"/>
      <c r="D30" s="114"/>
      <c r="E30"/>
    </row>
    <row r="31" spans="2:7" ht="19.399999999999999" customHeight="1" x14ac:dyDescent="0.45">
      <c r="B31" s="112"/>
      <c r="C31" s="117"/>
      <c r="D31"/>
      <c r="E31"/>
    </row>
    <row r="32" spans="2:7" ht="18.5" x14ac:dyDescent="0.45">
      <c r="B32" s="112"/>
      <c r="C32" s="113"/>
      <c r="D32" s="114"/>
      <c r="E32"/>
    </row>
    <row r="33" spans="2:5" ht="18.5" x14ac:dyDescent="0.45">
      <c r="B33" s="112"/>
      <c r="C33" s="113"/>
      <c r="D33" s="114"/>
      <c r="E33"/>
    </row>
    <row r="34" spans="2:5" ht="18" customHeight="1" x14ac:dyDescent="0.45">
      <c r="B34" s="118"/>
      <c r="C34" s="113"/>
      <c r="D34" s="114"/>
      <c r="E34"/>
    </row>
    <row r="35" spans="2:5" ht="18.5" x14ac:dyDescent="0.45">
      <c r="B35" s="112"/>
      <c r="C35" s="113"/>
      <c r="D35" s="114"/>
      <c r="E35"/>
    </row>
    <row r="36" spans="2:5" ht="18" customHeight="1" x14ac:dyDescent="0.45">
      <c r="B36" s="112"/>
      <c r="C36" s="113"/>
      <c r="D36" s="113"/>
      <c r="E36" s="113"/>
    </row>
    <row r="37" spans="2:5" ht="18" customHeight="1" x14ac:dyDescent="0.45">
      <c r="B37" s="112"/>
      <c r="C37" s="113"/>
      <c r="D37" s="114"/>
      <c r="E37"/>
    </row>
    <row r="38" spans="2:5" ht="18.649999999999999" customHeight="1" x14ac:dyDescent="0.45">
      <c r="B38" s="110"/>
      <c r="C38" s="113"/>
      <c r="D38" s="114"/>
      <c r="E38"/>
    </row>
    <row r="39" spans="2:5" ht="18.5" x14ac:dyDescent="0.45">
      <c r="B39" s="112"/>
      <c r="C39" s="113"/>
      <c r="D39" s="114"/>
      <c r="E39"/>
    </row>
    <row r="40" spans="2:5" ht="18.5" x14ac:dyDescent="0.45">
      <c r="B40" s="112"/>
      <c r="C40" s="113"/>
      <c r="D40" s="114"/>
      <c r="E40"/>
    </row>
    <row r="41" spans="2:5" ht="21" customHeight="1" x14ac:dyDescent="0.45">
      <c r="B41" s="112"/>
      <c r="C41" s="113"/>
      <c r="D41" s="114"/>
      <c r="E41"/>
    </row>
    <row r="42" spans="2:5" ht="20.9" customHeight="1" x14ac:dyDescent="0.45">
      <c r="B42" s="118"/>
      <c r="C42" s="113"/>
      <c r="D42" s="114"/>
      <c r="E42"/>
    </row>
    <row r="43" spans="2:5" ht="18.5" x14ac:dyDescent="0.45">
      <c r="B43" s="112"/>
      <c r="C43" s="113"/>
      <c r="D43" s="114"/>
      <c r="E43"/>
    </row>
    <row r="44" spans="2:5" ht="18.649999999999999" customHeight="1" x14ac:dyDescent="0.35"/>
    <row r="45" spans="2:5" ht="17.899999999999999" customHeight="1" x14ac:dyDescent="0.35"/>
    <row r="46" spans="2:5" ht="17.899999999999999" customHeight="1" x14ac:dyDescent="0.35"/>
    <row r="47" spans="2:5" ht="18.649999999999999" customHeight="1" x14ac:dyDescent="0.35"/>
    <row r="48" spans="2:5" ht="18.649999999999999" customHeight="1" x14ac:dyDescent="0.35"/>
    <row r="49" spans="2:2" ht="20.149999999999999" customHeight="1" x14ac:dyDescent="0.35"/>
    <row r="50" spans="2:2" ht="21" customHeight="1" x14ac:dyDescent="0.35"/>
    <row r="51" spans="2:2" ht="20.9" customHeight="1" x14ac:dyDescent="0.35"/>
    <row r="52" spans="2:2" ht="18.649999999999999" customHeight="1" x14ac:dyDescent="0.35"/>
    <row r="53" spans="2:2" ht="18.649999999999999" customHeight="1" x14ac:dyDescent="0.35"/>
    <row r="54" spans="2:2" ht="17.899999999999999" customHeight="1" x14ac:dyDescent="0.35"/>
    <row r="55" spans="2:2" ht="18.649999999999999" customHeight="1" x14ac:dyDescent="0.35"/>
    <row r="56" spans="2:2" ht="18.649999999999999" customHeight="1" x14ac:dyDescent="0.35"/>
    <row r="57" spans="2:2" ht="20.149999999999999" customHeight="1" x14ac:dyDescent="0.35"/>
    <row r="58" spans="2:2" ht="18.649999999999999" customHeight="1" x14ac:dyDescent="0.35"/>
    <row r="59" spans="2:2" ht="18.649999999999999" customHeight="1" x14ac:dyDescent="0.35"/>
    <row r="60" spans="2:2" ht="18.649999999999999" customHeight="1" x14ac:dyDescent="0.35"/>
    <row r="61" spans="2:2" ht="18.649999999999999" customHeight="1" x14ac:dyDescent="0.35"/>
    <row r="62" spans="2:2" ht="18.649999999999999" customHeight="1" x14ac:dyDescent="0.35"/>
    <row r="63" spans="2:2" ht="18.649999999999999" customHeight="1" x14ac:dyDescent="0.35"/>
    <row r="64" spans="2:2" ht="18.649999999999999" customHeight="1" x14ac:dyDescent="0.35"/>
    <row r="65" ht="18.649999999999999" customHeight="1" x14ac:dyDescent="0.35"/>
    <row r="66" ht="18.649999999999999" customHeight="1" x14ac:dyDescent="0.35"/>
    <row r="67" ht="18.649999999999999" customHeight="1" x14ac:dyDescent="0.35"/>
    <row r="68" ht="18.649999999999999" customHeight="1" x14ac:dyDescent="0.35"/>
    <row r="69" ht="18.649999999999999" customHeight="1" x14ac:dyDescent="0.35"/>
    <row r="70" ht="18.649999999999999" customHeight="1" x14ac:dyDescent="0.35"/>
    <row r="71" ht="18.649999999999999" customHeight="1" x14ac:dyDescent="0.35"/>
    <row r="72" ht="18.649999999999999" customHeight="1" x14ac:dyDescent="0.35"/>
    <row r="73" ht="18.649999999999999" customHeight="1" x14ac:dyDescent="0.35"/>
    <row r="74" ht="18.649999999999999" customHeight="1" x14ac:dyDescent="0.35"/>
    <row r="75" ht="18.649999999999999" customHeight="1" x14ac:dyDescent="0.35"/>
    <row r="76" ht="18.649999999999999" customHeight="1" x14ac:dyDescent="0.35"/>
    <row r="77" ht="18.649999999999999" customHeight="1" x14ac:dyDescent="0.35"/>
    <row r="78" ht="18.649999999999999" customHeight="1" x14ac:dyDescent="0.35"/>
    <row r="79" ht="18.649999999999999" customHeight="1" x14ac:dyDescent="0.35"/>
    <row r="80" ht="18.649999999999999" customHeight="1" x14ac:dyDescent="0.35"/>
    <row r="81" ht="18.649999999999999" customHeight="1" x14ac:dyDescent="0.35"/>
    <row r="82" ht="18.649999999999999" customHeight="1" x14ac:dyDescent="0.35"/>
    <row r="83" ht="18.649999999999999" customHeight="1" x14ac:dyDescent="0.35"/>
    <row r="84" ht="18.649999999999999" customHeight="1" x14ac:dyDescent="0.35"/>
    <row r="85" ht="18.649999999999999" customHeight="1" x14ac:dyDescent="0.35"/>
    <row r="86" ht="18.649999999999999" customHeight="1" x14ac:dyDescent="0.35"/>
  </sheetData>
  <pageMargins left="0.7" right="0.7" top="0.75" bottom="0.75" header="0.3" footer="0.3"/>
  <pageSetup paperSize="8" scale="1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68231-C3FE-44BF-9702-DB81EA8DDDF4}">
  <sheetPr>
    <tabColor theme="9"/>
    <pageSetUpPr fitToPage="1"/>
  </sheetPr>
  <dimension ref="A1:FW41"/>
  <sheetViews>
    <sheetView zoomScale="85" zoomScaleNormal="115" workbookViewId="0">
      <pane xSplit="1" ySplit="1" topLeftCell="B2" activePane="bottomRight" state="frozen"/>
      <selection activeCell="H65" sqref="H65"/>
      <selection pane="topRight" activeCell="H65" sqref="H65"/>
      <selection pane="bottomLeft" activeCell="H65" sqref="H65"/>
      <selection pane="bottomRight" activeCell="E33" sqref="E33"/>
    </sheetView>
  </sheetViews>
  <sheetFormatPr defaultColWidth="8.54296875" defaultRowHeight="14.5" outlineLevelCol="1" x14ac:dyDescent="0.35"/>
  <cols>
    <col min="1" max="1" width="20.6328125" style="372" customWidth="1"/>
    <col min="2" max="2" width="19.26953125" style="372" customWidth="1"/>
    <col min="3" max="3" width="14.1796875" style="372" customWidth="1"/>
    <col min="4" max="4" width="14" style="372" customWidth="1"/>
    <col min="5" max="5" width="13.54296875" style="372" customWidth="1"/>
    <col min="6" max="6" width="14.26953125" style="372" customWidth="1"/>
    <col min="7" max="7" width="17.36328125" style="473" customWidth="1"/>
    <col min="8" max="8" width="16.7265625" style="372" customWidth="1"/>
    <col min="9" max="9" width="16.54296875" style="372" customWidth="1"/>
    <col min="10" max="10" width="21.7265625" style="372" customWidth="1"/>
    <col min="11" max="11" width="23.1796875" style="372" customWidth="1"/>
    <col min="12" max="12" width="22.453125" style="372" customWidth="1"/>
    <col min="13" max="13" width="21.453125" style="372" customWidth="1"/>
    <col min="14" max="14" width="10.1796875" style="372" customWidth="1"/>
    <col min="15" max="15" width="10.7265625" style="372" customWidth="1"/>
    <col min="16" max="16" width="2.1796875" style="373" customWidth="1"/>
    <col min="17" max="17" width="11" style="372" hidden="1" customWidth="1" outlineLevel="1"/>
    <col min="18" max="18" width="8.54296875" style="372" hidden="1" customWidth="1" outlineLevel="1"/>
    <col min="19" max="19" width="10.453125" style="372" hidden="1" customWidth="1" outlineLevel="1"/>
    <col min="20" max="20" width="10.54296875" style="372" hidden="1" customWidth="1" outlineLevel="1"/>
    <col min="21" max="21" width="11" style="372" hidden="1" customWidth="1" outlineLevel="1"/>
    <col min="22" max="37" width="8.54296875" style="372" hidden="1" customWidth="1" outlineLevel="1"/>
    <col min="38" max="38" width="2.453125" style="372" hidden="1" customWidth="1" outlineLevel="1"/>
    <col min="39" max="41" width="8.54296875" style="372" hidden="1" customWidth="1" outlineLevel="1"/>
    <col min="42" max="42" width="9.453125" style="372" hidden="1" customWidth="1" outlineLevel="1"/>
    <col min="43" max="49" width="8.54296875" style="372" hidden="1" customWidth="1" outlineLevel="1"/>
    <col min="50" max="50" width="11.7265625" style="372" hidden="1" customWidth="1" outlineLevel="1"/>
    <col min="51" max="51" width="8.54296875" style="372" hidden="1" customWidth="1" outlineLevel="1"/>
    <col min="52" max="52" width="9" style="372" hidden="1" customWidth="1" outlineLevel="1"/>
    <col min="53" max="53" width="8.54296875" style="372" hidden="1" customWidth="1" outlineLevel="1"/>
    <col min="54" max="54" width="11.90625" style="372" hidden="1" customWidth="1" outlineLevel="1"/>
    <col min="55" max="55" width="11.453125" style="372" hidden="1" customWidth="1" outlineLevel="1"/>
    <col min="56" max="57" width="13" style="372" hidden="1" customWidth="1" outlineLevel="1"/>
    <col min="58" max="58" width="11.7265625" style="372" hidden="1" customWidth="1" outlineLevel="1"/>
    <col min="59" max="59" width="13.36328125" style="372" hidden="1" customWidth="1" outlineLevel="1"/>
    <col min="60" max="60" width="12.54296875" style="372" hidden="1" customWidth="1" outlineLevel="1"/>
    <col min="61" max="61" width="11.90625" style="372" hidden="1" customWidth="1" outlineLevel="1"/>
    <col min="62" max="62" width="14.54296875" style="372" hidden="1" customWidth="1" outlineLevel="1"/>
    <col min="63" max="63" width="12.6328125" style="372" hidden="1" customWidth="1" outlineLevel="1"/>
    <col min="64" max="64" width="12.08984375" style="372" hidden="1" customWidth="1" outlineLevel="1"/>
    <col min="65" max="65" width="14.6328125" style="372" hidden="1" customWidth="1" outlineLevel="1"/>
    <col min="66" max="66" width="3.54296875" style="372" hidden="1" customWidth="1" outlineLevel="1"/>
    <col min="67" max="82" width="8.54296875" style="372" hidden="1" customWidth="1" outlineLevel="1"/>
    <col min="83" max="83" width="9.26953125" style="372" hidden="1" customWidth="1" outlineLevel="1"/>
    <col min="84" max="84" width="8.54296875" style="372" hidden="1" customWidth="1" outlineLevel="1"/>
    <col min="85" max="85" width="9.7265625" style="372" hidden="1" customWidth="1" outlineLevel="1"/>
    <col min="86" max="86" width="8.54296875" style="372" hidden="1" customWidth="1" outlineLevel="1"/>
    <col min="87" max="87" width="3.453125" style="372" hidden="1" customWidth="1" outlineLevel="1"/>
    <col min="88" max="88" width="9.54296875" style="372" hidden="1" customWidth="1" outlineLevel="1"/>
    <col min="89" max="89" width="9.453125" style="372" hidden="1" customWidth="1" outlineLevel="1"/>
    <col min="90" max="92" width="8.54296875" style="372" hidden="1" customWidth="1" outlineLevel="1"/>
    <col min="93" max="93" width="3.26953125" style="372" hidden="1" customWidth="1" outlineLevel="1"/>
    <col min="94" max="97" width="8.54296875" style="372" hidden="1" customWidth="1" outlineLevel="1"/>
    <col min="98" max="98" width="3.26953125" style="372" hidden="1" customWidth="1" outlineLevel="1"/>
    <col min="99" max="99" width="12" style="372" customWidth="1" collapsed="1"/>
    <col min="100" max="100" width="10" style="372" customWidth="1"/>
    <col min="101" max="101" width="2.54296875" style="372" customWidth="1"/>
    <col min="102" max="102" width="10.54296875" style="372" customWidth="1" collapsed="1"/>
    <col min="103" max="103" width="8.54296875" style="372"/>
    <col min="104" max="104" width="2.54296875" style="372" customWidth="1"/>
    <col min="105" max="105" width="8.54296875" style="372"/>
    <col min="106" max="106" width="9.81640625" style="372" customWidth="1"/>
    <col min="107" max="107" width="8.54296875" style="372"/>
    <col min="108" max="108" width="2.54296875" style="372" customWidth="1"/>
    <col min="109" max="109" width="13.7265625" style="372" customWidth="1"/>
    <col min="110" max="110" width="8.54296875" style="372"/>
    <col min="111" max="111" width="2.54296875" style="372" customWidth="1"/>
    <col min="112" max="112" width="4.1796875" style="372" hidden="1" customWidth="1" outlineLevel="1"/>
    <col min="113" max="114" width="8.54296875" style="372" hidden="1" customWidth="1" outlineLevel="1"/>
    <col min="115" max="115" width="3.81640625" style="372" hidden="1" customWidth="1" outlineLevel="1"/>
    <col min="116" max="116" width="13.453125" style="372" hidden="1" customWidth="1" outlineLevel="1"/>
    <col min="117" max="117" width="8.54296875" style="372" hidden="1" customWidth="1" outlineLevel="1"/>
    <col min="118" max="118" width="4.1796875" style="372" hidden="1" customWidth="1" outlineLevel="1"/>
    <col min="119" max="119" width="12.54296875" style="372" hidden="1" customWidth="1" outlineLevel="1"/>
    <col min="120" max="120" width="8.54296875" style="372" hidden="1" customWidth="1" outlineLevel="1"/>
    <col min="121" max="121" width="4.26953125" style="372" hidden="1" customWidth="1" outlineLevel="1"/>
    <col min="122" max="122" width="12.54296875" style="372" hidden="1" customWidth="1" outlineLevel="1"/>
    <col min="123" max="123" width="8.54296875" style="372" hidden="1" customWidth="1" outlineLevel="1"/>
    <col min="124" max="124" width="3.81640625" style="372" hidden="1" customWidth="1" outlineLevel="1"/>
    <col min="125" max="125" width="11.7265625" style="372" hidden="1" customWidth="1" outlineLevel="1"/>
    <col min="126" max="126" width="8.54296875" style="372" hidden="1" customWidth="1" outlineLevel="1"/>
    <col min="127" max="127" width="3.81640625" style="372" hidden="1" customWidth="1" outlineLevel="1"/>
    <col min="128" max="128" width="12.1796875" style="372" hidden="1" customWidth="1" outlineLevel="1"/>
    <col min="129" max="129" width="8.54296875" style="372" hidden="1" customWidth="1" outlineLevel="1"/>
    <col min="130" max="130" width="4.26953125" style="372" hidden="1" customWidth="1" outlineLevel="1"/>
    <col min="131" max="132" width="8.54296875" style="372" hidden="1" customWidth="1" outlineLevel="1"/>
    <col min="133" max="133" width="2.7265625" style="372" hidden="1" customWidth="1" outlineLevel="1"/>
    <col min="134" max="134" width="10.1796875" style="372" hidden="1" customWidth="1" outlineLevel="1"/>
    <col min="135" max="135" width="8.54296875" style="372" hidden="1" customWidth="1" outlineLevel="1"/>
    <col min="136" max="136" width="4.1796875" style="372" hidden="1" customWidth="1" outlineLevel="1"/>
    <col min="137" max="138" width="8.54296875" style="372" hidden="1" customWidth="1" outlineLevel="1"/>
    <col min="139" max="139" width="3.54296875" style="372" hidden="1" customWidth="1" outlineLevel="1"/>
    <col min="140" max="140" width="12.1796875" style="372" customWidth="1" collapsed="1"/>
    <col min="141" max="141" width="8.54296875" style="372"/>
    <col min="142" max="142" width="2.54296875" style="372" customWidth="1"/>
    <col min="143" max="143" width="10.81640625" style="372" hidden="1" customWidth="1" outlineLevel="1"/>
    <col min="144" max="144" width="8.54296875" style="372" hidden="1" customWidth="1" outlineLevel="1"/>
    <col min="145" max="145" width="2.81640625" style="372" hidden="1" customWidth="1" outlineLevel="1"/>
    <col min="146" max="146" width="14.81640625" style="372" hidden="1" customWidth="1" outlineLevel="1"/>
    <col min="147" max="147" width="8.54296875" style="372" hidden="1" customWidth="1" outlineLevel="1"/>
    <col min="148" max="148" width="11" style="372" hidden="1" customWidth="1" outlineLevel="1"/>
    <col min="149" max="149" width="8.54296875" style="372" hidden="1" customWidth="1" outlineLevel="1"/>
    <col min="150" max="150" width="11.26953125" style="372" hidden="1" customWidth="1" outlineLevel="1"/>
    <col min="151" max="151" width="10.54296875" style="372" hidden="1" customWidth="1" outlineLevel="1"/>
    <col min="152" max="152" width="11.81640625" style="372" hidden="1" customWidth="1" outlineLevel="1"/>
    <col min="153" max="153" width="11.1796875" style="372" hidden="1" customWidth="1" outlineLevel="1"/>
    <col min="154" max="154" width="8.54296875" style="372" hidden="1" customWidth="1" outlineLevel="1"/>
    <col min="155" max="155" width="11.54296875" style="372" hidden="1" customWidth="1" outlineLevel="1"/>
    <col min="156" max="156" width="8.54296875" style="372" hidden="1" customWidth="1" outlineLevel="1"/>
    <col min="157" max="157" width="10.26953125" style="372" hidden="1" customWidth="1" outlineLevel="1"/>
    <col min="158" max="158" width="9.26953125" style="372" hidden="1" customWidth="1" outlineLevel="1"/>
    <col min="159" max="161" width="8.54296875" style="372" hidden="1" customWidth="1" outlineLevel="1"/>
    <col min="162" max="162" width="5.54296875" style="372" hidden="1" customWidth="1" outlineLevel="1"/>
    <col min="163" max="163" width="11.08984375" style="372" customWidth="1" collapsed="1"/>
    <col min="164" max="164" width="8.54296875" style="372"/>
    <col min="165" max="165" width="2.453125" style="372" customWidth="1"/>
    <col min="166" max="166" width="10.1796875" style="372" customWidth="1"/>
    <col min="167" max="167" width="8.54296875" style="372"/>
    <col min="168" max="168" width="2.26953125" style="372" customWidth="1"/>
    <col min="169" max="169" width="9.81640625" style="372" customWidth="1"/>
    <col min="170" max="170" width="8.54296875" style="372"/>
    <col min="171" max="171" width="2.453125" style="372" customWidth="1"/>
    <col min="172" max="172" width="11.81640625" style="372" bestFit="1" customWidth="1"/>
    <col min="173" max="173" width="8.54296875" style="372"/>
    <col min="174" max="174" width="2.453125" style="372" customWidth="1"/>
    <col min="175" max="175" width="12.26953125" style="372" customWidth="1"/>
    <col min="176" max="176" width="10" style="372" customWidth="1"/>
    <col min="177" max="177" width="2.453125" style="372" customWidth="1"/>
    <col min="178" max="178" width="14" style="372" customWidth="1"/>
    <col min="179" max="179" width="13.81640625" style="372" customWidth="1"/>
    <col min="180" max="16384" width="8.54296875" style="372"/>
  </cols>
  <sheetData>
    <row r="1" spans="1:179" ht="81" customHeight="1" thickBot="1" x14ac:dyDescent="0.4">
      <c r="A1" s="368" t="s">
        <v>886</v>
      </c>
      <c r="B1" s="369"/>
      <c r="C1" s="369"/>
      <c r="D1" s="369"/>
      <c r="E1" s="369"/>
      <c r="F1" s="369"/>
      <c r="G1" s="370"/>
      <c r="H1" s="369"/>
      <c r="I1" s="369"/>
      <c r="J1" s="369"/>
      <c r="K1" s="369"/>
      <c r="L1" s="369"/>
      <c r="M1" s="369"/>
      <c r="N1" s="371" t="s">
        <v>679</v>
      </c>
      <c r="Q1" s="373"/>
      <c r="R1" s="373"/>
      <c r="S1" s="756" t="s">
        <v>680</v>
      </c>
      <c r="T1" s="757"/>
      <c r="U1" s="758"/>
      <c r="V1" s="759" t="s">
        <v>156</v>
      </c>
      <c r="W1" s="759"/>
      <c r="X1" s="759"/>
      <c r="Y1" s="759"/>
      <c r="Z1" s="759"/>
      <c r="AA1" s="759"/>
      <c r="AB1" s="759"/>
      <c r="AC1" s="759"/>
      <c r="AD1" s="759"/>
      <c r="AE1" s="759"/>
      <c r="AF1" s="759"/>
      <c r="AG1" s="759"/>
      <c r="AH1" s="759"/>
      <c r="AI1" s="759"/>
      <c r="AJ1" s="759"/>
      <c r="AK1" s="759"/>
      <c r="AL1" s="373"/>
      <c r="AM1" s="760" t="s">
        <v>681</v>
      </c>
      <c r="AN1" s="760"/>
      <c r="AO1" s="760"/>
      <c r="AP1" s="760"/>
      <c r="AQ1" s="760"/>
      <c r="AR1" s="761" t="s">
        <v>877</v>
      </c>
      <c r="AS1" s="761"/>
      <c r="AT1" s="761"/>
      <c r="AU1" s="761"/>
      <c r="AV1" s="761"/>
      <c r="AW1" s="762" t="s">
        <v>878</v>
      </c>
      <c r="AX1" s="762"/>
      <c r="AY1" s="762"/>
      <c r="AZ1" s="762"/>
      <c r="BA1" s="762"/>
      <c r="BB1" s="744" t="s">
        <v>863</v>
      </c>
      <c r="BC1" s="745"/>
      <c r="BD1" s="754"/>
      <c r="BE1" s="754"/>
      <c r="BF1" s="754"/>
      <c r="BG1" s="755"/>
      <c r="BH1" s="744" t="s">
        <v>866</v>
      </c>
      <c r="BI1" s="745"/>
      <c r="BJ1" s="745"/>
      <c r="BK1" s="745"/>
      <c r="BL1" s="745"/>
      <c r="BM1" s="746"/>
      <c r="BN1" s="373"/>
      <c r="BO1" s="747" t="s">
        <v>157</v>
      </c>
      <c r="BP1" s="748"/>
      <c r="BQ1" s="748"/>
      <c r="BR1" s="748"/>
      <c r="BS1" s="749"/>
      <c r="BT1" s="747" t="s">
        <v>92</v>
      </c>
      <c r="BU1" s="748"/>
      <c r="BV1" s="748"/>
      <c r="BW1" s="748"/>
      <c r="BX1" s="749"/>
      <c r="BY1" s="747" t="s">
        <v>93</v>
      </c>
      <c r="BZ1" s="748"/>
      <c r="CA1" s="748"/>
      <c r="CB1" s="748"/>
      <c r="CC1" s="749"/>
      <c r="CD1" s="747" t="s">
        <v>94</v>
      </c>
      <c r="CE1" s="748"/>
      <c r="CF1" s="748"/>
      <c r="CG1" s="748"/>
      <c r="CH1" s="749"/>
      <c r="CI1" s="374"/>
      <c r="CJ1" s="747" t="s">
        <v>388</v>
      </c>
      <c r="CK1" s="748"/>
      <c r="CL1" s="748"/>
      <c r="CM1" s="748"/>
      <c r="CN1" s="749"/>
      <c r="CO1" s="375"/>
      <c r="CP1" s="753" t="s">
        <v>161</v>
      </c>
      <c r="CQ1" s="753"/>
      <c r="CR1" s="753"/>
      <c r="CS1" s="753"/>
      <c r="CT1" s="375"/>
      <c r="CU1" s="750" t="s">
        <v>682</v>
      </c>
      <c r="CV1" s="751"/>
      <c r="CW1" s="376"/>
      <c r="CX1" s="738" t="s">
        <v>683</v>
      </c>
      <c r="CY1" s="738"/>
      <c r="CZ1" s="376"/>
      <c r="DA1" s="742" t="s">
        <v>684</v>
      </c>
      <c r="DB1" s="752"/>
      <c r="DC1" s="743"/>
      <c r="DD1" s="556"/>
      <c r="DE1" s="738" t="s">
        <v>685</v>
      </c>
      <c r="DF1" s="738"/>
      <c r="DG1" s="376"/>
      <c r="DH1" s="376"/>
      <c r="DI1" s="738" t="s">
        <v>164</v>
      </c>
      <c r="DJ1" s="738"/>
      <c r="DK1" s="377"/>
      <c r="DL1" s="738" t="s">
        <v>655</v>
      </c>
      <c r="DM1" s="738"/>
      <c r="DN1" s="377"/>
      <c r="DO1" s="742" t="s">
        <v>654</v>
      </c>
      <c r="DP1" s="743"/>
      <c r="DQ1" s="556"/>
      <c r="DR1" s="742" t="s">
        <v>741</v>
      </c>
      <c r="DS1" s="743"/>
      <c r="DT1" s="377"/>
      <c r="DU1" s="738" t="s">
        <v>165</v>
      </c>
      <c r="DV1" s="738"/>
      <c r="DW1" s="377"/>
      <c r="DX1" s="738" t="s">
        <v>166</v>
      </c>
      <c r="DY1" s="738"/>
      <c r="DZ1" s="377"/>
      <c r="EA1" s="738" t="s">
        <v>168</v>
      </c>
      <c r="EB1" s="738"/>
      <c r="EC1" s="377"/>
      <c r="ED1" s="738" t="s">
        <v>167</v>
      </c>
      <c r="EE1" s="738"/>
      <c r="EF1" s="377"/>
      <c r="EG1" s="738" t="s">
        <v>686</v>
      </c>
      <c r="EH1" s="738"/>
      <c r="EI1" s="377"/>
      <c r="EJ1" s="738" t="s">
        <v>687</v>
      </c>
      <c r="EK1" s="738"/>
      <c r="EL1" s="376"/>
      <c r="EM1" s="738" t="s">
        <v>171</v>
      </c>
      <c r="EN1" s="738"/>
      <c r="EO1" s="376"/>
      <c r="EP1" s="741" t="s">
        <v>169</v>
      </c>
      <c r="EQ1" s="741"/>
      <c r="ER1" s="741"/>
      <c r="ES1" s="741"/>
      <c r="ET1" s="741"/>
      <c r="EU1" s="741"/>
      <c r="EV1" s="741"/>
      <c r="EW1" s="741"/>
      <c r="EX1" s="741"/>
      <c r="EY1" s="741"/>
      <c r="EZ1" s="741"/>
      <c r="FA1" s="741"/>
      <c r="FB1" s="741"/>
      <c r="FC1" s="741"/>
      <c r="FD1" s="741"/>
      <c r="FE1" s="741"/>
      <c r="FF1" s="378"/>
      <c r="FG1" s="738" t="s">
        <v>688</v>
      </c>
      <c r="FH1" s="738"/>
      <c r="FI1" s="378"/>
      <c r="FJ1" s="738" t="s">
        <v>689</v>
      </c>
      <c r="FK1" s="738"/>
      <c r="FL1" s="378"/>
      <c r="FM1" s="738" t="s">
        <v>879</v>
      </c>
      <c r="FN1" s="738"/>
      <c r="FO1" s="378"/>
      <c r="FP1" s="738" t="s">
        <v>690</v>
      </c>
      <c r="FQ1" s="738"/>
      <c r="FR1" s="378"/>
      <c r="FS1" s="738" t="s">
        <v>691</v>
      </c>
      <c r="FT1" s="738"/>
      <c r="FV1" s="553" t="s">
        <v>750</v>
      </c>
      <c r="FW1" s="553" t="s">
        <v>765</v>
      </c>
    </row>
    <row r="2" spans="1:179" ht="67.5" customHeight="1" x14ac:dyDescent="0.35">
      <c r="A2" s="379" t="s">
        <v>135</v>
      </c>
      <c r="B2" s="380" t="s">
        <v>136</v>
      </c>
      <c r="C2" s="379" t="s">
        <v>692</v>
      </c>
      <c r="D2" s="379" t="s">
        <v>137</v>
      </c>
      <c r="E2" s="379" t="s">
        <v>138</v>
      </c>
      <c r="F2" s="379" t="s">
        <v>139</v>
      </c>
      <c r="G2" s="381" t="s">
        <v>874</v>
      </c>
      <c r="H2" s="381" t="s">
        <v>875</v>
      </c>
      <c r="I2" s="381" t="s">
        <v>876</v>
      </c>
      <c r="J2" s="381" t="s">
        <v>766</v>
      </c>
      <c r="K2" s="381" t="s">
        <v>767</v>
      </c>
      <c r="L2" s="381" t="s">
        <v>763</v>
      </c>
      <c r="M2" s="381" t="s">
        <v>762</v>
      </c>
      <c r="N2" s="381" t="s">
        <v>83</v>
      </c>
      <c r="O2" s="381" t="s">
        <v>89</v>
      </c>
      <c r="Q2" s="382" t="s">
        <v>86</v>
      </c>
      <c r="R2" s="382" t="s">
        <v>87</v>
      </c>
      <c r="S2" s="382" t="s">
        <v>375</v>
      </c>
      <c r="T2" s="382" t="s">
        <v>377</v>
      </c>
      <c r="U2" s="382" t="s">
        <v>376</v>
      </c>
      <c r="V2" s="383" t="s">
        <v>153</v>
      </c>
      <c r="W2" s="384" t="s">
        <v>152</v>
      </c>
      <c r="X2" s="383" t="s">
        <v>383</v>
      </c>
      <c r="Y2" s="383" t="s">
        <v>381</v>
      </c>
      <c r="Z2" s="383" t="s">
        <v>382</v>
      </c>
      <c r="AA2" s="383" t="s">
        <v>384</v>
      </c>
      <c r="AB2" s="383" t="s">
        <v>385</v>
      </c>
      <c r="AC2" s="383" t="s">
        <v>392</v>
      </c>
      <c r="AD2" s="385" t="s">
        <v>148</v>
      </c>
      <c r="AE2" s="385" t="s">
        <v>378</v>
      </c>
      <c r="AF2" s="385" t="s">
        <v>379</v>
      </c>
      <c r="AG2" s="385" t="s">
        <v>150</v>
      </c>
      <c r="AH2" s="386" t="s">
        <v>149</v>
      </c>
      <c r="AI2" s="386" t="s">
        <v>378</v>
      </c>
      <c r="AJ2" s="386" t="s">
        <v>380</v>
      </c>
      <c r="AK2" s="386" t="s">
        <v>151</v>
      </c>
      <c r="AL2" s="387"/>
      <c r="AM2" s="388" t="s">
        <v>90</v>
      </c>
      <c r="AN2" s="388" t="s">
        <v>386</v>
      </c>
      <c r="AO2" s="388" t="s">
        <v>154</v>
      </c>
      <c r="AP2" s="389" t="s">
        <v>88</v>
      </c>
      <c r="AQ2" s="389" t="s">
        <v>89</v>
      </c>
      <c r="AR2" s="390" t="s">
        <v>90</v>
      </c>
      <c r="AS2" s="390" t="s">
        <v>386</v>
      </c>
      <c r="AT2" s="390" t="s">
        <v>154</v>
      </c>
      <c r="AU2" s="391" t="s">
        <v>88</v>
      </c>
      <c r="AV2" s="391" t="s">
        <v>89</v>
      </c>
      <c r="AW2" s="392" t="s">
        <v>90</v>
      </c>
      <c r="AX2" s="392" t="s">
        <v>386</v>
      </c>
      <c r="AY2" s="392" t="s">
        <v>154</v>
      </c>
      <c r="AZ2" s="392" t="s">
        <v>88</v>
      </c>
      <c r="BA2" s="392" t="s">
        <v>89</v>
      </c>
      <c r="BB2" s="727" t="s">
        <v>864</v>
      </c>
      <c r="BC2" s="727" t="s">
        <v>865</v>
      </c>
      <c r="BD2" s="727" t="s">
        <v>868</v>
      </c>
      <c r="BE2" s="728" t="s">
        <v>873</v>
      </c>
      <c r="BF2" s="728" t="s">
        <v>869</v>
      </c>
      <c r="BG2" s="728" t="s">
        <v>870</v>
      </c>
      <c r="BH2" s="727" t="s">
        <v>864</v>
      </c>
      <c r="BI2" s="727" t="s">
        <v>865</v>
      </c>
      <c r="BJ2" s="727" t="s">
        <v>871</v>
      </c>
      <c r="BK2" s="727" t="s">
        <v>872</v>
      </c>
      <c r="BL2" s="727" t="s">
        <v>869</v>
      </c>
      <c r="BM2" s="728" t="s">
        <v>870</v>
      </c>
      <c r="BN2" s="387"/>
      <c r="BO2" s="393" t="s">
        <v>90</v>
      </c>
      <c r="BP2" s="393" t="s">
        <v>386</v>
      </c>
      <c r="BQ2" s="393" t="s">
        <v>154</v>
      </c>
      <c r="BR2" s="393" t="s">
        <v>158</v>
      </c>
      <c r="BS2" s="394" t="s">
        <v>89</v>
      </c>
      <c r="BT2" s="393" t="s">
        <v>90</v>
      </c>
      <c r="BU2" s="393" t="s">
        <v>386</v>
      </c>
      <c r="BV2" s="393" t="s">
        <v>154</v>
      </c>
      <c r="BW2" s="393" t="s">
        <v>158</v>
      </c>
      <c r="BX2" s="394" t="s">
        <v>89</v>
      </c>
      <c r="BY2" s="393" t="s">
        <v>90</v>
      </c>
      <c r="BZ2" s="393" t="s">
        <v>386</v>
      </c>
      <c r="CA2" s="393" t="s">
        <v>154</v>
      </c>
      <c r="CB2" s="393" t="s">
        <v>158</v>
      </c>
      <c r="CC2" s="394" t="s">
        <v>89</v>
      </c>
      <c r="CD2" s="393" t="s">
        <v>95</v>
      </c>
      <c r="CE2" s="393" t="s">
        <v>387</v>
      </c>
      <c r="CF2" s="393" t="s">
        <v>159</v>
      </c>
      <c r="CG2" s="393" t="s">
        <v>158</v>
      </c>
      <c r="CH2" s="394" t="s">
        <v>89</v>
      </c>
      <c r="CI2" s="395"/>
      <c r="CJ2" s="393" t="s">
        <v>96</v>
      </c>
      <c r="CK2" s="393" t="s">
        <v>387</v>
      </c>
      <c r="CL2" s="393" t="s">
        <v>159</v>
      </c>
      <c r="CM2" s="393" t="s">
        <v>158</v>
      </c>
      <c r="CN2" s="394" t="s">
        <v>89</v>
      </c>
      <c r="CO2" s="396"/>
      <c r="CP2" s="575" t="s">
        <v>162</v>
      </c>
      <c r="CQ2" s="575" t="s">
        <v>431</v>
      </c>
      <c r="CR2" s="575" t="s">
        <v>160</v>
      </c>
      <c r="CS2" s="576" t="s">
        <v>89</v>
      </c>
      <c r="CT2" s="396"/>
      <c r="CU2" s="573" t="s">
        <v>160</v>
      </c>
      <c r="CV2" s="553" t="s">
        <v>757</v>
      </c>
      <c r="CW2" s="397"/>
      <c r="CX2" s="574" t="s">
        <v>160</v>
      </c>
      <c r="CY2" s="553" t="s">
        <v>757</v>
      </c>
      <c r="CZ2" s="397"/>
      <c r="DA2" s="574" t="s">
        <v>756</v>
      </c>
      <c r="DB2" s="574" t="s">
        <v>160</v>
      </c>
      <c r="DC2" s="553" t="s">
        <v>757</v>
      </c>
      <c r="DD2" s="396"/>
      <c r="DE2" s="574" t="s">
        <v>160</v>
      </c>
      <c r="DF2" s="553" t="s">
        <v>757</v>
      </c>
      <c r="DG2" s="397"/>
      <c r="DH2" s="577"/>
      <c r="DI2" s="578" t="s">
        <v>391</v>
      </c>
      <c r="DJ2" s="579" t="s">
        <v>89</v>
      </c>
      <c r="DK2" s="577"/>
      <c r="DL2" s="578" t="s">
        <v>390</v>
      </c>
      <c r="DM2" s="579" t="s">
        <v>89</v>
      </c>
      <c r="DN2" s="577"/>
      <c r="DO2" s="578" t="s">
        <v>160</v>
      </c>
      <c r="DP2" s="579" t="s">
        <v>89</v>
      </c>
      <c r="DQ2" s="577"/>
      <c r="DR2" s="578" t="s">
        <v>160</v>
      </c>
      <c r="DS2" s="579" t="s">
        <v>89</v>
      </c>
      <c r="DT2" s="577"/>
      <c r="DU2" s="578" t="s">
        <v>160</v>
      </c>
      <c r="DV2" s="579" t="s">
        <v>89</v>
      </c>
      <c r="DW2" s="577"/>
      <c r="DX2" s="578" t="s">
        <v>160</v>
      </c>
      <c r="DY2" s="579" t="s">
        <v>89</v>
      </c>
      <c r="DZ2" s="577"/>
      <c r="EA2" s="578" t="s">
        <v>160</v>
      </c>
      <c r="EB2" s="579" t="s">
        <v>89</v>
      </c>
      <c r="EC2" s="577"/>
      <c r="ED2" s="578" t="s">
        <v>160</v>
      </c>
      <c r="EE2" s="579" t="s">
        <v>89</v>
      </c>
      <c r="EF2" s="577"/>
      <c r="EG2" s="578" t="s">
        <v>160</v>
      </c>
      <c r="EH2" s="579" t="s">
        <v>89</v>
      </c>
      <c r="EI2" s="577"/>
      <c r="EJ2" s="574" t="s">
        <v>160</v>
      </c>
      <c r="EK2" s="553" t="s">
        <v>757</v>
      </c>
      <c r="EL2" s="577"/>
      <c r="EM2" s="578" t="s">
        <v>160</v>
      </c>
      <c r="EN2" s="579" t="s">
        <v>89</v>
      </c>
      <c r="EO2" s="577"/>
      <c r="EP2" s="580" t="s">
        <v>434</v>
      </c>
      <c r="EQ2" s="581" t="s">
        <v>203</v>
      </c>
      <c r="ER2" s="581" t="s">
        <v>435</v>
      </c>
      <c r="ES2" s="581" t="s">
        <v>431</v>
      </c>
      <c r="ET2" s="581" t="s">
        <v>438</v>
      </c>
      <c r="EU2" s="581" t="s">
        <v>432</v>
      </c>
      <c r="EV2" s="582" t="s">
        <v>436</v>
      </c>
      <c r="EW2" s="580" t="s">
        <v>663</v>
      </c>
      <c r="EX2" s="581" t="s">
        <v>662</v>
      </c>
      <c r="EY2" s="581" t="s">
        <v>437</v>
      </c>
      <c r="EZ2" s="581" t="s">
        <v>431</v>
      </c>
      <c r="FA2" s="581" t="s">
        <v>160</v>
      </c>
      <c r="FB2" s="581" t="s">
        <v>432</v>
      </c>
      <c r="FC2" s="582" t="s">
        <v>433</v>
      </c>
      <c r="FD2" s="583" t="s">
        <v>160</v>
      </c>
      <c r="FE2" s="584" t="s">
        <v>89</v>
      </c>
      <c r="FF2" s="396"/>
      <c r="FG2" s="574" t="s">
        <v>160</v>
      </c>
      <c r="FH2" s="553" t="s">
        <v>757</v>
      </c>
      <c r="FI2" s="396"/>
      <c r="FJ2" s="574" t="s">
        <v>160</v>
      </c>
      <c r="FK2" s="553" t="s">
        <v>880</v>
      </c>
      <c r="FL2" s="396"/>
      <c r="FM2" s="574" t="s">
        <v>160</v>
      </c>
      <c r="FN2" s="553" t="s">
        <v>880</v>
      </c>
      <c r="FO2" s="396"/>
      <c r="FP2" s="574" t="s">
        <v>160</v>
      </c>
      <c r="FQ2" s="553" t="s">
        <v>880</v>
      </c>
      <c r="FR2" s="396"/>
      <c r="FS2" s="574" t="s">
        <v>160</v>
      </c>
      <c r="FT2" s="553" t="s">
        <v>880</v>
      </c>
      <c r="FV2" s="559" t="s">
        <v>204</v>
      </c>
      <c r="FW2" s="559" t="s">
        <v>204</v>
      </c>
    </row>
    <row r="3" spans="1:179" ht="15.5" x14ac:dyDescent="0.35">
      <c r="A3" s="621" t="s">
        <v>140</v>
      </c>
      <c r="B3" s="398" t="s">
        <v>260</v>
      </c>
      <c r="C3" s="730">
        <v>15000</v>
      </c>
      <c r="D3" s="729">
        <v>0.35</v>
      </c>
      <c r="E3" s="729">
        <v>0.95</v>
      </c>
      <c r="F3" s="729">
        <v>0.52300000000000002</v>
      </c>
      <c r="G3" s="695">
        <v>340</v>
      </c>
      <c r="H3" s="589">
        <f>IFERROR(I3/F3,0)</f>
        <v>3242351.8164435946</v>
      </c>
      <c r="I3" s="589">
        <f>C3*D3*E3*G3</f>
        <v>1695750</v>
      </c>
      <c r="J3" s="589">
        <f>K3*$B$29</f>
        <v>18747458.333333332</v>
      </c>
      <c r="K3" s="589">
        <f>I3*$B$26</f>
        <v>16863291.666666664</v>
      </c>
      <c r="L3" s="590">
        <f>M3*$B$29</f>
        <v>67490850</v>
      </c>
      <c r="M3" s="590">
        <f>K3*3.6</f>
        <v>60707849.999999993</v>
      </c>
      <c r="N3" s="591">
        <f>IFERROR(M3/$M$21,"-")</f>
        <v>0.14638443169287976</v>
      </c>
      <c r="O3" s="597">
        <f>FT3</f>
        <v>-13.023059883635959</v>
      </c>
      <c r="Q3" s="401">
        <f>(32+40)/2</f>
        <v>36</v>
      </c>
      <c r="R3" s="402">
        <f>C3/Q3</f>
        <v>416.66666666666669</v>
      </c>
      <c r="S3" s="402">
        <v>120</v>
      </c>
      <c r="T3" s="402">
        <v>85</v>
      </c>
      <c r="U3" s="402">
        <v>190</v>
      </c>
      <c r="V3" s="403">
        <f>Y3+AA3</f>
        <v>32</v>
      </c>
      <c r="W3" s="404">
        <f>R3*V3</f>
        <v>13333.333333333334</v>
      </c>
      <c r="X3" s="405">
        <v>7.5</v>
      </c>
      <c r="Y3" s="406">
        <f>22*$Y$21</f>
        <v>22</v>
      </c>
      <c r="Z3" s="407">
        <v>0.49</v>
      </c>
      <c r="AA3" s="406">
        <v>10</v>
      </c>
      <c r="AB3" s="407">
        <v>0.53</v>
      </c>
      <c r="AC3" s="403">
        <v>120.6</v>
      </c>
      <c r="AD3" s="408">
        <v>2.6</v>
      </c>
      <c r="AE3" s="409">
        <v>0.49230769230769234</v>
      </c>
      <c r="AF3" s="408">
        <f>AD3*AE3</f>
        <v>1.28</v>
      </c>
      <c r="AG3" s="410">
        <f>V3*AF3</f>
        <v>40.96</v>
      </c>
      <c r="AH3" s="411">
        <v>4.5999999999999996</v>
      </c>
      <c r="AI3" s="412">
        <f>103/115</f>
        <v>0.89565217391304353</v>
      </c>
      <c r="AJ3" s="411">
        <f>AH3*AI3</f>
        <v>4.12</v>
      </c>
      <c r="AK3" s="413">
        <f>V3*AJ3</f>
        <v>131.84</v>
      </c>
      <c r="AM3" s="414">
        <f>MAX(S3-AC3,0)</f>
        <v>0</v>
      </c>
      <c r="AN3" s="415">
        <f>AM3*R3</f>
        <v>0</v>
      </c>
      <c r="AO3" s="416">
        <f>GHG_Emissions!$E$24/1000</f>
        <v>5.8806000000000003</v>
      </c>
      <c r="AP3" s="415">
        <f>AN3*AO3</f>
        <v>0</v>
      </c>
      <c r="AQ3" s="417">
        <f>IFERROR((AP3*1000/$FV$3),0)</f>
        <v>0</v>
      </c>
      <c r="AR3" s="410">
        <f>MAX(T3-AG3,0)</f>
        <v>44.04</v>
      </c>
      <c r="AS3" s="418">
        <f>AR3*R3</f>
        <v>18350</v>
      </c>
      <c r="AT3" s="673">
        <f>GHG_Emissions!$E$25/1000</f>
        <v>1.0107000000000002</v>
      </c>
      <c r="AU3" s="418">
        <f>AS3*AT3</f>
        <v>18546.345000000001</v>
      </c>
      <c r="AV3" s="419">
        <f>IFERROR((AU3*1000/$FV$3),0)</f>
        <v>0.32806001987564604</v>
      </c>
      <c r="AW3" s="420">
        <f>MAX(U3-AK3,0)</f>
        <v>58.16</v>
      </c>
      <c r="AX3" s="421">
        <f>AW3*R3</f>
        <v>24233.333333333332</v>
      </c>
      <c r="AY3" s="413">
        <f>GHG_Emissions!$E$26/1000</f>
        <v>0.57610000000000006</v>
      </c>
      <c r="AZ3" s="421">
        <f>AX3*AY3</f>
        <v>13960.823333333334</v>
      </c>
      <c r="BA3" s="422">
        <f>IFERROR((AZ3*1000/$FV$3),0)</f>
        <v>0.24694827903900832</v>
      </c>
      <c r="BB3" s="716">
        <f>AM3</f>
        <v>0</v>
      </c>
      <c r="BC3" s="716">
        <f>AC3</f>
        <v>120.6</v>
      </c>
      <c r="BD3" s="717">
        <f>(BB3+BC3)*GHG_Emissions!$E$38*AH3</f>
        <v>5.5475999999999992</v>
      </c>
      <c r="BE3" s="716">
        <f>BD3*(44*265/28)</f>
        <v>2310.1791428571428</v>
      </c>
      <c r="BF3" s="716">
        <f>BE3/($C3*$D3)</f>
        <v>0.4400341224489796</v>
      </c>
      <c r="BG3" s="718">
        <f>IFERROR((BE3*1000/$FV$3),0)</f>
        <v>4.0863977000428771E-2</v>
      </c>
      <c r="BH3" s="716">
        <f>AM3</f>
        <v>0</v>
      </c>
      <c r="BI3" s="722">
        <f>AC3</f>
        <v>120.6</v>
      </c>
      <c r="BJ3" s="718">
        <f>(BH3*GHG_Emissions!$E$41+BI3*GHG_Emissions!$E$42)*GHG_Emissions!$E$39+(BH3+BI3)*GHG_Emissions!$E$43*GHG_Emissions!$E$40</f>
        <v>0.51255000000000006</v>
      </c>
      <c r="BK3" s="718">
        <f>BJ3*(44/28)*265</f>
        <v>213.44046428571431</v>
      </c>
      <c r="BL3" s="718">
        <f>BK3/($C3*$D3)</f>
        <v>4.0655326530612247E-2</v>
      </c>
      <c r="BM3" s="723">
        <f>IFERROR((BK3*1000/$FV$3),0)</f>
        <v>3.7754761359091809E-3</v>
      </c>
      <c r="BO3" s="423">
        <v>0</v>
      </c>
      <c r="BP3" s="424">
        <f>BO3*$R3</f>
        <v>0</v>
      </c>
      <c r="BQ3" s="425">
        <f>GHG_Emissions!$E$28/1000</f>
        <v>0.1295</v>
      </c>
      <c r="BR3" s="402">
        <f>BP3*BQ3</f>
        <v>0</v>
      </c>
      <c r="BS3" s="426">
        <f>IFERROR((BR3*1000/$FV$3),0)</f>
        <v>0</v>
      </c>
      <c r="BT3" s="423">
        <v>120</v>
      </c>
      <c r="BU3" s="424">
        <f>BT3*$R3</f>
        <v>50000</v>
      </c>
      <c r="BV3" s="427">
        <f>GHG_Emissions!$E$30/1000</f>
        <v>2.8989999999999998E-2</v>
      </c>
      <c r="BW3" s="402">
        <f>BU3*BV3</f>
        <v>1449.5</v>
      </c>
      <c r="BX3" s="686">
        <f>IFERROR((BW3*1000/$FV$3),0)</f>
        <v>2.5639714930879853E-2</v>
      </c>
      <c r="BY3" s="423">
        <v>4.55</v>
      </c>
      <c r="BZ3" s="424">
        <f>BY3*$R3</f>
        <v>1895.8333333333333</v>
      </c>
      <c r="CA3" s="425">
        <f>GHG_Emissions!$E$29/1000</f>
        <v>10.971299999999999</v>
      </c>
      <c r="CB3" s="402">
        <f>BZ3*CA3</f>
        <v>20799.756249999999</v>
      </c>
      <c r="CC3" s="426">
        <f>IFERROR((CB3*1000/$FV$3),0)</f>
        <v>0.36791984883186379</v>
      </c>
      <c r="CD3" s="423">
        <v>79.180000000000007</v>
      </c>
      <c r="CE3" s="424">
        <f>CD3*$R3</f>
        <v>32991.666666666672</v>
      </c>
      <c r="CF3" s="696">
        <f>EnergyConversions!$B$52*(GHG_Emissions!$C$4+GHG_Emissions!$C$5)</f>
        <v>3.1220783999999995</v>
      </c>
      <c r="CG3" s="402">
        <f>CE3*CF3</f>
        <v>103002.56988</v>
      </c>
      <c r="CH3" s="426">
        <f>IFERROR((CG3*1000/$FV$3),0)</f>
        <v>1.8219775983933988</v>
      </c>
      <c r="CI3" s="428"/>
      <c r="CJ3" s="423">
        <v>21.96</v>
      </c>
      <c r="CK3" s="424">
        <f>CJ3*C3/GHG_Conversions!$G$11</f>
        <v>9185.9271818668567</v>
      </c>
      <c r="CL3" s="427">
        <f>EnergyConversions!$B$52*(GHG_Emissions!$C$4+GHG_Emissions!$C$5)</f>
        <v>3.1220783999999995</v>
      </c>
      <c r="CM3" s="402">
        <f>CK3*CL3</f>
        <v>28679.184838479381</v>
      </c>
      <c r="CN3" s="426">
        <f>IFERROR(CM3*1000/$FV$3,0)</f>
        <v>0.50729639441781504</v>
      </c>
      <c r="CO3" s="429"/>
      <c r="CP3" s="436">
        <v>13.97</v>
      </c>
      <c r="CQ3" s="437">
        <f>(GHG_Emissions!$E$4+GHG_Emissions!$E$5)</f>
        <v>87.73333333333332</v>
      </c>
      <c r="CR3" s="433">
        <f>C3*CP3*CQ3/1000</f>
        <v>18384.519999999997</v>
      </c>
      <c r="CS3" s="431">
        <f>IFERROR((CR3*1000/$FV$3),0)</f>
        <v>0.32519755221873697</v>
      </c>
      <c r="CT3" s="429"/>
      <c r="CU3" s="430">
        <f>BE3+BK3+AP3+AU3+AZ3+BR3+BW3+CB3+CG3+CM3+CR3</f>
        <v>207346.31890895555</v>
      </c>
      <c r="CV3" s="431">
        <f>IFERROR((CU3*1000/$FV$3),0)</f>
        <v>3.6676788608436866</v>
      </c>
      <c r="CW3" s="428"/>
      <c r="CX3" s="441">
        <f>SUMIF(Transport!B:B,'Feed + carbon calculator'!A3,Transport!M:M)</f>
        <v>34643.241964285713</v>
      </c>
      <c r="CY3" s="563">
        <f>IFERROR(CX3/$FV3*1000,0)</f>
        <v>0.61279258243931001</v>
      </c>
      <c r="CZ3" s="428"/>
      <c r="DA3" s="432" t="s">
        <v>85</v>
      </c>
      <c r="DB3" s="433">
        <v>0</v>
      </c>
      <c r="DC3" s="433">
        <v>0</v>
      </c>
      <c r="DD3" s="434"/>
      <c r="DE3" s="441">
        <v>0</v>
      </c>
      <c r="DF3" s="563">
        <f>IFERROR(DE3/$FV$3*1000,0)</f>
        <v>0</v>
      </c>
      <c r="DG3" s="428"/>
      <c r="DH3" s="429"/>
      <c r="DI3" s="438">
        <f>DI21*$N3</f>
        <v>0</v>
      </c>
      <c r="DJ3" s="439">
        <f>IFERROR(DI3/$FV$3*1000,0)</f>
        <v>0</v>
      </c>
      <c r="DK3" s="429"/>
      <c r="DL3" s="438">
        <f>$DL$21*$N3</f>
        <v>49976.831349813823</v>
      </c>
      <c r="DM3" s="439">
        <f>IFERROR(DL3/$FV$3*1000,0)</f>
        <v>0.88402325557632699</v>
      </c>
      <c r="DN3" s="435"/>
      <c r="DO3" s="438">
        <f>$DO$21*$N3</f>
        <v>629670.73906107491</v>
      </c>
      <c r="DP3" s="439">
        <f>IFERROR(DO3/$FV$3*1000,0)</f>
        <v>11.138032597338665</v>
      </c>
      <c r="DQ3" s="439"/>
      <c r="DR3" s="438">
        <f>$DR$21*$N3</f>
        <v>0</v>
      </c>
      <c r="DS3" s="439">
        <f>IFERROR(DR3/$FV$3*1000,0)</f>
        <v>0</v>
      </c>
      <c r="DT3" s="435"/>
      <c r="DU3" s="438">
        <f>$DU$21*$N3</f>
        <v>39825.890108762134</v>
      </c>
      <c r="DV3" s="439">
        <f>IFERROR(DU3/$FV$3*1000,0)</f>
        <v>0.70446669145029928</v>
      </c>
      <c r="DW3" s="435"/>
      <c r="DX3" s="702">
        <f>$DX$21*$N3</f>
        <v>-91549.970209100138</v>
      </c>
      <c r="DY3" s="703">
        <f>IFERROR(DX3/$FV$3*1000,0)</f>
        <v>-1.6193964388353714</v>
      </c>
      <c r="DZ3" s="435"/>
      <c r="EA3" s="438"/>
      <c r="EB3" s="439"/>
      <c r="EC3" s="435"/>
      <c r="ED3" s="435">
        <f>$ED$21*$N3</f>
        <v>117546.50945162975</v>
      </c>
      <c r="EE3" s="434">
        <f>IFERROR(ED3/$FV$3*1000,0)</f>
        <v>2.0792404232216359</v>
      </c>
      <c r="EF3" s="435"/>
      <c r="EG3" s="435">
        <f>$I$28*7.5%*N3*$EG$24</f>
        <v>0</v>
      </c>
      <c r="EH3" s="434">
        <f>IFERROR(EG3/$FV$3*1000,0)</f>
        <v>0</v>
      </c>
      <c r="EI3" s="435"/>
      <c r="EJ3" s="570">
        <f>IFERROR(DI3+DL3+DO3+DR3+DU3+DX3+EA3+ED3+EG3,0)</f>
        <v>745469.99976218049</v>
      </c>
      <c r="EK3" s="561">
        <f>IFERROR(EJ3/$FV$3*1000,0)</f>
        <v>13.186366528751556</v>
      </c>
      <c r="EL3" s="435"/>
      <c r="EM3" s="435">
        <f>$EM$21*N3</f>
        <v>52631.76281832152</v>
      </c>
      <c r="EN3" s="434">
        <f>IFERROR(EM3/$FV$3*1000,0)</f>
        <v>0.93098543978713033</v>
      </c>
      <c r="EO3" s="435"/>
      <c r="EP3" s="440"/>
      <c r="EQ3" s="435"/>
      <c r="ER3" s="435"/>
      <c r="ES3" s="435"/>
      <c r="ET3" s="435"/>
      <c r="EU3" s="435"/>
      <c r="EV3" s="435"/>
      <c r="EW3" s="441"/>
      <c r="EX3" s="435"/>
      <c r="EY3" s="435"/>
      <c r="EZ3" s="435"/>
      <c r="FA3" s="435"/>
      <c r="FB3" s="435"/>
      <c r="FC3" s="442"/>
      <c r="FD3" s="443">
        <f t="shared" ref="FD3:FD9" si="0">$FD$21*$N3</f>
        <v>19137.743322648475</v>
      </c>
      <c r="FE3" s="444">
        <f>IFERROR(FD3/$FV$3*1000,0)</f>
        <v>0.33852106465198778</v>
      </c>
      <c r="FF3" s="434"/>
      <c r="FG3" s="402">
        <f>IFERROR(EM3+FD3,0)</f>
        <v>71769.506140969999</v>
      </c>
      <c r="FH3" s="426">
        <f>IFERROR(FG3/$FV$3*1000,0)</f>
        <v>1.2695065044391183</v>
      </c>
      <c r="FI3" s="434"/>
      <c r="FJ3" s="402">
        <v>0</v>
      </c>
      <c r="FK3" s="781">
        <f>IFERROR(FJ3/$FV$3*1000,0)</f>
        <v>0</v>
      </c>
      <c r="FL3" s="429"/>
      <c r="FM3" s="402">
        <f>IFERROR(-$I$28*N3*$FN$23,0)</f>
        <v>0</v>
      </c>
      <c r="FN3" s="781">
        <f>IFERROR(FM3/$FV$3*1000,0)</f>
        <v>0</v>
      </c>
      <c r="FO3" s="429"/>
      <c r="FP3" s="560">
        <f>IFERROR(-$I$28*N3*$FQ$23,0)</f>
        <v>-1867236.2944450455</v>
      </c>
      <c r="FQ3" s="563">
        <f>IFERROR(FP3/$FV3*1000,0)</f>
        <v>-33.028910864548749</v>
      </c>
      <c r="FR3" s="429"/>
      <c r="FS3" s="402">
        <f>CU3+CX3+DB3+DE3+EJ3+FG3+FJ3+FM3+FP3+EM3+FD3</f>
        <v>-736237.72152768378</v>
      </c>
      <c r="FT3" s="426">
        <f>CV3+CY3+DC3+DF3+EK3+FH3+FK3+FN3+FQ3+FE3+EN3</f>
        <v>-13.023059883635959</v>
      </c>
      <c r="FV3" s="402">
        <f>$FV$21*N3</f>
        <v>56533389.856618769</v>
      </c>
      <c r="FW3" s="402">
        <f>FV3/$B$29</f>
        <v>50851642.132335469</v>
      </c>
    </row>
    <row r="4" spans="1:179" ht="15.5" x14ac:dyDescent="0.35">
      <c r="A4" s="621" t="s">
        <v>881</v>
      </c>
      <c r="B4" s="398" t="s">
        <v>260</v>
      </c>
      <c r="C4" s="730">
        <v>12000</v>
      </c>
      <c r="D4" s="729">
        <v>0.32</v>
      </c>
      <c r="E4" s="729">
        <v>0.97</v>
      </c>
      <c r="F4" s="729">
        <v>0.52</v>
      </c>
      <c r="G4" s="695">
        <v>370</v>
      </c>
      <c r="H4" s="589">
        <f t="shared" ref="H4:H9" si="1">IFERROR(I4/F4,0)</f>
        <v>2650338.4615384615</v>
      </c>
      <c r="I4" s="589">
        <f t="shared" ref="I4:I9" si="2">C4*D4*E4*G4</f>
        <v>1378176</v>
      </c>
      <c r="J4" s="589">
        <f t="shared" ref="J4:J9" si="3">K4*$B$29</f>
        <v>15236501.333333332</v>
      </c>
      <c r="K4" s="589">
        <f t="shared" ref="K4:K9" si="4">I4*$B$26</f>
        <v>13705194.666666664</v>
      </c>
      <c r="L4" s="590">
        <f>M4*$B$29</f>
        <v>54851404.799999997</v>
      </c>
      <c r="M4" s="590">
        <f>K4*3.6</f>
        <v>49338700.79999999</v>
      </c>
      <c r="N4" s="593">
        <f>IFERROR(M4/$M$21,"-")</f>
        <v>0.11897007845069511</v>
      </c>
      <c r="O4" s="597">
        <f t="shared" ref="O4:O18" si="5">FT4</f>
        <v>-17.212844034311608</v>
      </c>
      <c r="Q4" s="401">
        <f>(38+48)/2</f>
        <v>43</v>
      </c>
      <c r="R4" s="402">
        <f>C4/Q4</f>
        <v>279.06976744186045</v>
      </c>
      <c r="S4" s="402">
        <v>100</v>
      </c>
      <c r="T4" s="402">
        <v>85</v>
      </c>
      <c r="U4" s="402">
        <v>205</v>
      </c>
      <c r="V4" s="403">
        <f>Y4+AA4</f>
        <v>25</v>
      </c>
      <c r="W4" s="404">
        <f>R4*V4</f>
        <v>6976.7441860465115</v>
      </c>
      <c r="X4" s="405">
        <v>7.5</v>
      </c>
      <c r="Y4" s="406">
        <v>25</v>
      </c>
      <c r="Z4" s="407">
        <v>0.53</v>
      </c>
      <c r="AA4" s="406">
        <v>0</v>
      </c>
      <c r="AB4" s="407">
        <v>0</v>
      </c>
      <c r="AC4" s="403">
        <v>100.01100000000001</v>
      </c>
      <c r="AD4" s="408">
        <v>3.6</v>
      </c>
      <c r="AE4" s="409">
        <v>0.49230769230769234</v>
      </c>
      <c r="AF4" s="673">
        <f>AD4*AE4</f>
        <v>1.7723076923076924</v>
      </c>
      <c r="AG4" s="410">
        <f>V4*AF4</f>
        <v>44.307692307692307</v>
      </c>
      <c r="AH4" s="411">
        <v>5.6</v>
      </c>
      <c r="AI4" s="412">
        <f>103/115</f>
        <v>0.89565217391304353</v>
      </c>
      <c r="AJ4" s="735">
        <f>AH4*AI4</f>
        <v>5.0156521739130433</v>
      </c>
      <c r="AK4" s="413">
        <f>V4*AJ4</f>
        <v>125.39130434782608</v>
      </c>
      <c r="AM4" s="414">
        <f>MAX(S4-AC4,0)</f>
        <v>0</v>
      </c>
      <c r="AN4" s="415">
        <f>AM4*R4</f>
        <v>0</v>
      </c>
      <c r="AO4" s="416">
        <f>GHG_Emissions!$E$24/1000</f>
        <v>5.8806000000000003</v>
      </c>
      <c r="AP4" s="415">
        <f>AN4*AO4</f>
        <v>0</v>
      </c>
      <c r="AQ4" s="417">
        <f>IFERROR((AP4*1000/$FV$3),0)</f>
        <v>0</v>
      </c>
      <c r="AR4" s="410">
        <f t="shared" ref="AR4" si="6">MAX(T4-AG4,0)</f>
        <v>40.692307692307693</v>
      </c>
      <c r="AS4" s="418">
        <f t="shared" ref="AS4:AS5" si="7">AR4*R4</f>
        <v>11355.992844364937</v>
      </c>
      <c r="AT4" s="673">
        <f>GHG_Emissions!$E$25/1000</f>
        <v>1.0107000000000002</v>
      </c>
      <c r="AU4" s="418">
        <f t="shared" ref="AU4:AU5" si="8">AS4*AT4</f>
        <v>11477.501967799644</v>
      </c>
      <c r="AV4" s="419">
        <f t="shared" ref="AV4:AV5" si="9">IFERROR((AU4*1000/$FV$3),0)</f>
        <v>0.20302164785994858</v>
      </c>
      <c r="AW4" s="420">
        <f>MAX(U4-AK4,0)</f>
        <v>79.608695652173921</v>
      </c>
      <c r="AX4" s="421">
        <f>AW4*R4</f>
        <v>22216.380182002024</v>
      </c>
      <c r="AY4" s="413">
        <f>GHG_Emissions!$E$26/1000</f>
        <v>0.57610000000000006</v>
      </c>
      <c r="AZ4" s="421">
        <f>AX4*AY4</f>
        <v>12798.856622851366</v>
      </c>
      <c r="BA4" s="422">
        <f>IFERROR((AZ4*1000/$FV$3),0)</f>
        <v>0.22639464315357896</v>
      </c>
      <c r="BB4" s="716">
        <f>AM4</f>
        <v>0</v>
      </c>
      <c r="BC4" s="716">
        <f>AC4</f>
        <v>100.01100000000001</v>
      </c>
      <c r="BD4" s="717">
        <f>(BB4+BC4)*GHG_Emissions!$E$38*AH4</f>
        <v>5.6006159999999996</v>
      </c>
      <c r="BE4" s="716">
        <f>BD4*(44*265/28)</f>
        <v>2332.2565199999999</v>
      </c>
      <c r="BF4" s="716">
        <f>BE4/($C4*$D4)</f>
        <v>0.60735846874999999</v>
      </c>
      <c r="BG4" s="718">
        <f>IFERROR((BE4*1000/$FV$3),0)</f>
        <v>4.1254496252836073E-2</v>
      </c>
      <c r="BH4" s="716">
        <f>AM4</f>
        <v>0</v>
      </c>
      <c r="BI4" s="722">
        <f>AC4</f>
        <v>100.01100000000001</v>
      </c>
      <c r="BJ4" s="718">
        <f>(BH4*GHG_Emissions!$E$41+BI4*GHG_Emissions!$E$42)*GHG_Emissions!$E$39+(BH4+BI4)*GHG_Emissions!$E$43*GHG_Emissions!$E$40</f>
        <v>0.42504675000000003</v>
      </c>
      <c r="BK4" s="718">
        <f>BJ4*(44/28)*265</f>
        <v>177.00161089285714</v>
      </c>
      <c r="BL4" s="718">
        <f>BK4/($C4*$D4)</f>
        <v>4.6094169503348215E-2</v>
      </c>
      <c r="BM4" s="723">
        <f>IFERROR((BK4*1000/$FV$3),0)</f>
        <v>3.1309215906170232E-3</v>
      </c>
      <c r="BO4" s="423">
        <v>0</v>
      </c>
      <c r="BP4" s="424">
        <f>BO4*$R4</f>
        <v>0</v>
      </c>
      <c r="BQ4" s="425">
        <f>GHG_Emissions!$E$28/1000</f>
        <v>0.1295</v>
      </c>
      <c r="BR4" s="402">
        <f>BP4*BQ4</f>
        <v>0</v>
      </c>
      <c r="BS4" s="426">
        <f>IFERROR((BR4*1000/$FV$3),0)</f>
        <v>0</v>
      </c>
      <c r="BT4" s="423">
        <v>25</v>
      </c>
      <c r="BU4" s="424">
        <f>BT4*$R4</f>
        <v>6976.7441860465115</v>
      </c>
      <c r="BV4" s="427">
        <f>GHG_Emissions!$E$30/1000</f>
        <v>2.8989999999999998E-2</v>
      </c>
      <c r="BW4" s="402">
        <f>BU4*BV4</f>
        <v>202.25581395348834</v>
      </c>
      <c r="BX4" s="686">
        <f>IFERROR((BW4*1000/$FV$3),0)</f>
        <v>3.5776346415181187E-3</v>
      </c>
      <c r="BY4" s="423">
        <v>6.7</v>
      </c>
      <c r="BZ4" s="424">
        <f>BY4*$R4</f>
        <v>1869.7674418604652</v>
      </c>
      <c r="CA4" s="425">
        <f>GHG_Emissions!$E$29/1000</f>
        <v>10.971299999999999</v>
      </c>
      <c r="CB4" s="402">
        <f>BZ4*CA4</f>
        <v>20513.779534883721</v>
      </c>
      <c r="CC4" s="426">
        <f>IFERROR((CB4*1000/$FV$3),0)</f>
        <v>0.36286130350419848</v>
      </c>
      <c r="CD4" s="423">
        <v>60.1</v>
      </c>
      <c r="CE4" s="424">
        <f>CD4*$R4</f>
        <v>16772.093023255813</v>
      </c>
      <c r="CF4" s="696">
        <f>EnergyConversions!$B$52*(GHG_Emissions!$C$4+GHG_Emissions!$C$5)</f>
        <v>3.1220783999999995</v>
      </c>
      <c r="CG4" s="402">
        <f>CE4*CF4</f>
        <v>52363.789350697662</v>
      </c>
      <c r="CH4" s="426">
        <f>IFERROR((CG4*1000/$FV$3),0)</f>
        <v>0.92624534781133516</v>
      </c>
      <c r="CI4" s="428"/>
      <c r="CJ4" s="423">
        <v>21.96</v>
      </c>
      <c r="CK4" s="424">
        <f>CJ4*C4/GHG_Conversions!$G$11</f>
        <v>7348.7417454934857</v>
      </c>
      <c r="CL4" s="427">
        <f>EnergyConversions!$B$52*(GHG_Emissions!$C$4+GHG_Emissions!$C$5)</f>
        <v>3.1220783999999995</v>
      </c>
      <c r="CM4" s="402">
        <f>CK4*CL4</f>
        <v>22943.347870783506</v>
      </c>
      <c r="CN4" s="426">
        <f>IFERROR(CM4*1000/$FV$3,0)</f>
        <v>0.40583711553425206</v>
      </c>
      <c r="CO4" s="429"/>
      <c r="CP4" s="436">
        <v>13.97</v>
      </c>
      <c r="CQ4" s="437">
        <f>(GHG_Emissions!$E$4+GHG_Emissions!$E$5)</f>
        <v>87.73333333333332</v>
      </c>
      <c r="CR4" s="433">
        <f>C4*CP4*CQ4/1000</f>
        <v>14707.615999999998</v>
      </c>
      <c r="CS4" s="431">
        <f>IFERROR((CR4*1000/$FV$3),0)</f>
        <v>0.26015804177498958</v>
      </c>
      <c r="CT4" s="429"/>
      <c r="CU4" s="430">
        <f>BE4+BK4+AP4+AU4+AZ4+BR4+BW4+CB4+CG4+CM4+CR4</f>
        <v>137516.40529186226</v>
      </c>
      <c r="CV4" s="431">
        <f>IFERROR((CU4*1000/$FV$3),0)</f>
        <v>2.4324811521232741</v>
      </c>
      <c r="CW4" s="428"/>
      <c r="CX4" s="441">
        <f>SUMIF(Transport!B:B,'Feed + carbon calculator'!A4,Transport!M:M)</f>
        <v>27714.593571428573</v>
      </c>
      <c r="CY4" s="563">
        <f>IFERROR(CX4/$FV4*1000,0)</f>
        <v>0.60319902344632925</v>
      </c>
      <c r="CZ4" s="428"/>
      <c r="DA4" s="432" t="s">
        <v>85</v>
      </c>
      <c r="DB4" s="433">
        <v>0</v>
      </c>
      <c r="DC4" s="433">
        <v>0</v>
      </c>
      <c r="DD4" s="434"/>
      <c r="DE4" s="441">
        <v>0</v>
      </c>
      <c r="DF4" s="563">
        <f>IFERROR(DE4/$FV$3*1000,0)</f>
        <v>0</v>
      </c>
      <c r="DG4" s="428"/>
      <c r="DH4" s="429"/>
      <c r="DI4" s="438">
        <f>DI22*$N4</f>
        <v>0</v>
      </c>
      <c r="DJ4" s="439">
        <f>IFERROR(DI4/$FV$3*1000,0)</f>
        <v>0</v>
      </c>
      <c r="DK4" s="429"/>
      <c r="DL4" s="438">
        <f>$DL$21*$N4</f>
        <v>40617.348973823391</v>
      </c>
      <c r="DM4" s="439">
        <f>IFERROR(DL4/$FV$3*1000,0)</f>
        <v>0.71846653945284378</v>
      </c>
      <c r="DN4" s="435"/>
      <c r="DO4" s="438">
        <f>$DO$21*$N4</f>
        <v>511748.25326624553</v>
      </c>
      <c r="DP4" s="439">
        <f>IFERROR(DO4/$FV$3*1000,0)</f>
        <v>9.0521416558276933</v>
      </c>
      <c r="DQ4" s="439"/>
      <c r="DR4" s="438">
        <f>$DR$21*$N4</f>
        <v>0</v>
      </c>
      <c r="DS4" s="439">
        <f>IFERROR(DR4/$FV$3*1000,0)</f>
        <v>0</v>
      </c>
      <c r="DT4" s="435"/>
      <c r="DU4" s="438">
        <f>$DU$21*$N4</f>
        <v>32367.439732586383</v>
      </c>
      <c r="DV4" s="439">
        <f>IFERROR(DU4/$FV$3*1000,0)</f>
        <v>0.57253668698582194</v>
      </c>
      <c r="DW4" s="435"/>
      <c r="DX4" s="702">
        <f>$DX$21*$N4</f>
        <v>-74404.818954973773</v>
      </c>
      <c r="DY4" s="703">
        <f>IFERROR(DX4/$FV$3*1000,0)</f>
        <v>-1.3161216609101438</v>
      </c>
      <c r="DZ4" s="435"/>
      <c r="EA4" s="438"/>
      <c r="EB4" s="439"/>
      <c r="EC4" s="435"/>
      <c r="ED4" s="435">
        <f>$ED$21*$N4</f>
        <v>95532.81923043447</v>
      </c>
      <c r="EE4" s="434">
        <f>IFERROR(ED4/$FV$3*1000,0)</f>
        <v>1.6898477072173967</v>
      </c>
      <c r="EF4" s="435"/>
      <c r="EG4" s="435">
        <f>$I$28*7.5%*N4*$EG$24</f>
        <v>0</v>
      </c>
      <c r="EH4" s="434">
        <f>IFERROR(EG4/$FV$3*1000,0)</f>
        <v>0</v>
      </c>
      <c r="EI4" s="435"/>
      <c r="EJ4" s="570">
        <f>IFERROR(DI4+DL4+DO4+DR4+DU4+DX4+EA4+ED4+EG4,0)</f>
        <v>605861.04224811599</v>
      </c>
      <c r="EK4" s="561">
        <f>IFERROR(EJ4/$FV$3*1000,0)</f>
        <v>10.716870928573613</v>
      </c>
      <c r="EL4" s="435"/>
      <c r="EM4" s="435">
        <f>$EM$21*N4</f>
        <v>42775.074364678207</v>
      </c>
      <c r="EN4" s="434">
        <f>IFERROR(EM4/$FV$3*1000,0)</f>
        <v>0.75663381363058713</v>
      </c>
      <c r="EO4" s="435"/>
      <c r="EP4" s="440"/>
      <c r="EQ4" s="435"/>
      <c r="ER4" s="435"/>
      <c r="ES4" s="435"/>
      <c r="ET4" s="435"/>
      <c r="EU4" s="435"/>
      <c r="EV4" s="435"/>
      <c r="EW4" s="441"/>
      <c r="EX4" s="435"/>
      <c r="EY4" s="435"/>
      <c r="EZ4" s="435"/>
      <c r="FA4" s="435"/>
      <c r="FB4" s="435"/>
      <c r="FC4" s="442"/>
      <c r="FD4" s="443">
        <f t="shared" si="0"/>
        <v>15553.695144587577</v>
      </c>
      <c r="FE4" s="444">
        <f>IFERROR(FD4/$FV$3*1000,0)</f>
        <v>0.27512404941637503</v>
      </c>
      <c r="FF4" s="434"/>
      <c r="FG4" s="402">
        <f>IFERROR(EM4+FD4,0)</f>
        <v>58328.769509265781</v>
      </c>
      <c r="FH4" s="426">
        <f>IFERROR(FG4/$FV$3*1000,0)</f>
        <v>1.0317578630469622</v>
      </c>
      <c r="FI4" s="434"/>
      <c r="FJ4" s="402">
        <v>0</v>
      </c>
      <c r="FK4" s="781">
        <f>IFERROR(FJ4/$FV$3*1000,0)</f>
        <v>0</v>
      </c>
      <c r="FL4" s="429"/>
      <c r="FM4" s="402">
        <f>IFERROR(-$I$28*N4*$FN$23,0)</f>
        <v>0</v>
      </c>
      <c r="FN4" s="781">
        <f>IFERROR(FM4/$FV$3*1000,0)</f>
        <v>0</v>
      </c>
      <c r="FO4" s="429"/>
      <c r="FP4" s="560">
        <f>IFERROR(-$I$28*N4*$FQ$23,0)</f>
        <v>-1517546.9540516555</v>
      </c>
      <c r="FQ4" s="563">
        <f>IFERROR(FP4/$FV4*1000,0)</f>
        <v>-33.028910864548749</v>
      </c>
      <c r="FR4" s="429"/>
      <c r="FS4" s="402">
        <f>CU4+CX4+DB4+DE4+EJ4+FG4+FJ4+FM4+FP4+EM4+FD4</f>
        <v>-629797.37392171705</v>
      </c>
      <c r="FT4" s="426">
        <f>CV4+CY4+DC4+DF4+EK4+FH4+FK4+FN4+FQ4+FE4+EN4</f>
        <v>-17.212844034311608</v>
      </c>
      <c r="FV4" s="402">
        <f>$FV$21*N4</f>
        <v>45946018.634253532</v>
      </c>
      <c r="FW4" s="402">
        <f>FV4/$B$29</f>
        <v>41328328.319253176</v>
      </c>
    </row>
    <row r="5" spans="1:179" ht="15.5" x14ac:dyDescent="0.35">
      <c r="A5" s="621" t="s">
        <v>141</v>
      </c>
      <c r="B5" s="398" t="s">
        <v>260</v>
      </c>
      <c r="C5" s="730">
        <v>14000</v>
      </c>
      <c r="D5" s="729">
        <v>0.35</v>
      </c>
      <c r="E5" s="729">
        <v>0.93</v>
      </c>
      <c r="F5" s="729">
        <v>0.53</v>
      </c>
      <c r="G5" s="695">
        <v>318</v>
      </c>
      <c r="H5" s="589">
        <f t="shared" si="1"/>
        <v>2734200</v>
      </c>
      <c r="I5" s="589">
        <f t="shared" si="2"/>
        <v>1449126</v>
      </c>
      <c r="J5" s="589">
        <f t="shared" si="3"/>
        <v>16020893</v>
      </c>
      <c r="K5" s="589">
        <f t="shared" si="4"/>
        <v>14410752.999999998</v>
      </c>
      <c r="L5" s="590">
        <f>M5*$B$29</f>
        <v>57675214.800000004</v>
      </c>
      <c r="M5" s="590">
        <f t="shared" ref="M5:M20" si="10">K5*3.6</f>
        <v>51878710.799999997</v>
      </c>
      <c r="N5" s="593">
        <f>IFERROR(M5/$M$21,"-")</f>
        <v>0.12509478753435122</v>
      </c>
      <c r="O5" s="597">
        <f t="shared" si="5"/>
        <v>-14.472771896935543</v>
      </c>
      <c r="Q5" s="401">
        <f>(55+75)/2</f>
        <v>65</v>
      </c>
      <c r="R5" s="402">
        <f>C5/Q5</f>
        <v>215.38461538461539</v>
      </c>
      <c r="S5" s="402">
        <v>300</v>
      </c>
      <c r="T5" s="402">
        <v>70</v>
      </c>
      <c r="U5" s="402">
        <v>100</v>
      </c>
      <c r="V5" s="403">
        <f>Y5+AA5</f>
        <v>33</v>
      </c>
      <c r="W5" s="404">
        <f>R5*V5</f>
        <v>7107.6923076923076</v>
      </c>
      <c r="X5" s="405">
        <v>7.5</v>
      </c>
      <c r="Y5" s="406">
        <v>18</v>
      </c>
      <c r="Z5" s="407">
        <v>0.63</v>
      </c>
      <c r="AA5" s="406">
        <v>15</v>
      </c>
      <c r="AB5" s="407">
        <v>0.66</v>
      </c>
      <c r="AC5" s="403">
        <v>159.30000000000001</v>
      </c>
      <c r="AD5" s="408">
        <v>4.5999999999999996</v>
      </c>
      <c r="AE5" s="409">
        <v>0.51282051282051277</v>
      </c>
      <c r="AF5" s="673">
        <f>AD5*AE5</f>
        <v>2.3589743589743586</v>
      </c>
      <c r="AG5" s="410">
        <f>V5*AF5</f>
        <v>77.84615384615384</v>
      </c>
      <c r="AH5" s="411">
        <v>6.6</v>
      </c>
      <c r="AI5" s="412">
        <f>103/115</f>
        <v>0.89565217391304353</v>
      </c>
      <c r="AJ5" s="735">
        <f>AH5*AI5</f>
        <v>5.9113043478260874</v>
      </c>
      <c r="AK5" s="413">
        <f>V5*AJ5</f>
        <v>195.07304347826087</v>
      </c>
      <c r="AM5" s="414">
        <f>MAX(S5-AC5,0)</f>
        <v>140.69999999999999</v>
      </c>
      <c r="AN5" s="415">
        <f>AM5*R5</f>
        <v>30304.615384615383</v>
      </c>
      <c r="AO5" s="416">
        <f>GHG_Emissions!$E$24/1000</f>
        <v>5.8806000000000003</v>
      </c>
      <c r="AP5" s="415">
        <f t="shared" ref="AP5" si="11">AN5*AO5</f>
        <v>178209.32123076922</v>
      </c>
      <c r="AQ5" s="417">
        <f t="shared" ref="AQ5" si="12">IFERROR((AP5*1000/$FV$3),0)</f>
        <v>3.1522843700465799</v>
      </c>
      <c r="AR5" s="410">
        <f>MAX(T5-AG5,0)</f>
        <v>0</v>
      </c>
      <c r="AS5" s="418">
        <f t="shared" si="7"/>
        <v>0</v>
      </c>
      <c r="AT5" s="673">
        <f>GHG_Emissions!$E$25/1000</f>
        <v>1.0107000000000002</v>
      </c>
      <c r="AU5" s="418">
        <f t="shared" si="8"/>
        <v>0</v>
      </c>
      <c r="AV5" s="419">
        <f t="shared" si="9"/>
        <v>0</v>
      </c>
      <c r="AW5" s="420">
        <f>MAX(U5-AK5,0)</f>
        <v>0</v>
      </c>
      <c r="AX5" s="421">
        <f>AW5*R5</f>
        <v>0</v>
      </c>
      <c r="AY5" s="413">
        <f>GHG_Emissions!$E$26/1000</f>
        <v>0.57610000000000006</v>
      </c>
      <c r="AZ5" s="421">
        <f t="shared" ref="AZ5" si="13">AX5*AY5</f>
        <v>0</v>
      </c>
      <c r="BA5" s="422">
        <f t="shared" ref="BA5" si="14">IFERROR((AZ5*1000/$FV$3),0)</f>
        <v>0</v>
      </c>
      <c r="BB5" s="716">
        <f>AM5</f>
        <v>140.69999999999999</v>
      </c>
      <c r="BC5" s="716">
        <f>AC5</f>
        <v>159.30000000000001</v>
      </c>
      <c r="BD5" s="717">
        <f>(BB5+BC5)*GHG_Emissions!$E$38*AH5</f>
        <v>19.799999999999997</v>
      </c>
      <c r="BE5" s="716">
        <f>BD5*(44*265/28)</f>
        <v>8245.2857142857138</v>
      </c>
      <c r="BF5" s="716">
        <f>BE5/($C5*$D5)</f>
        <v>1.6827113702623906</v>
      </c>
      <c r="BG5" s="718">
        <f>IFERROR((BE5*1000/$FV$3),0)</f>
        <v>0.14584806846356799</v>
      </c>
      <c r="BH5" s="716">
        <f>AM5</f>
        <v>140.69999999999999</v>
      </c>
      <c r="BI5" s="722">
        <f>AC5</f>
        <v>159.30000000000001</v>
      </c>
      <c r="BJ5" s="718">
        <f>(BH5*GHG_Emissions!$E$41+BI5*GHG_Emissions!$E$42)*GHG_Emissions!$E$39+(BH5+BI5)*GHG_Emissions!$E$43*GHG_Emissions!$E$40</f>
        <v>1.1343000000000001</v>
      </c>
      <c r="BK5" s="718">
        <f>BJ5*(44/28)*265</f>
        <v>472.35492857142862</v>
      </c>
      <c r="BL5" s="718">
        <f>BK5/($C5*$D5)</f>
        <v>9.6398965014577273E-2</v>
      </c>
      <c r="BM5" s="723">
        <f>IFERROR((BK5*1000/$FV$3),0)</f>
        <v>8.3553264675871302E-3</v>
      </c>
      <c r="BO5" s="423">
        <v>200</v>
      </c>
      <c r="BP5" s="424">
        <f t="shared" ref="BP5" si="15">BO5*$R5</f>
        <v>43076.923076923078</v>
      </c>
      <c r="BQ5" s="425">
        <f>GHG_Emissions!$E$28/1000</f>
        <v>0.1295</v>
      </c>
      <c r="BR5" s="402">
        <f t="shared" ref="BR5" si="16">BP5*BQ5</f>
        <v>5578.461538461539</v>
      </c>
      <c r="BS5" s="426">
        <f t="shared" ref="BS5" si="17">IFERROR((BR5*1000/$FV$3),0)</f>
        <v>9.8675518178014024E-2</v>
      </c>
      <c r="BT5" s="423">
        <v>3.3</v>
      </c>
      <c r="BU5" s="424">
        <f t="shared" ref="BU5" si="18">BT5*$R5</f>
        <v>710.76923076923072</v>
      </c>
      <c r="BV5" s="427">
        <f>GHG_Emissions!$E$30/1000</f>
        <v>2.8989999999999998E-2</v>
      </c>
      <c r="BW5" s="402">
        <f t="shared" ref="BW5" si="19">BU5*BV5</f>
        <v>20.605199999999996</v>
      </c>
      <c r="BX5" s="686">
        <f t="shared" ref="BX5" si="20">IFERROR((BW5*1000/$FV$3),0)</f>
        <v>3.6447840917127667E-4</v>
      </c>
      <c r="BY5" s="423">
        <v>0.72</v>
      </c>
      <c r="BZ5" s="424">
        <f t="shared" ref="BZ5" si="21">BY5*$R5</f>
        <v>155.07692307692307</v>
      </c>
      <c r="CA5" s="425">
        <f>GHG_Emissions!$E$29/1000</f>
        <v>10.971299999999999</v>
      </c>
      <c r="CB5" s="402">
        <f t="shared" ref="CB5" si="22">BZ5*CA5</f>
        <v>1701.395446153846</v>
      </c>
      <c r="CC5" s="426">
        <f t="shared" ref="CC5" si="23">IFERROR((CB5*1000/$FV$3),0)</f>
        <v>3.0095408226341332E-2</v>
      </c>
      <c r="CD5" s="423">
        <v>8.4499999999999993</v>
      </c>
      <c r="CE5" s="424">
        <f t="shared" ref="CE5" si="24">CD5*$R5</f>
        <v>1819.9999999999998</v>
      </c>
      <c r="CF5" s="696">
        <f>EnergyConversions!$B$52*(GHG_Emissions!$C$4+GHG_Emissions!$C$5)</f>
        <v>3.1220783999999995</v>
      </c>
      <c r="CG5" s="402">
        <f t="shared" ref="CG5" si="25">CE5*CF5</f>
        <v>5682.1826879999981</v>
      </c>
      <c r="CH5" s="426">
        <f t="shared" ref="CH5" si="26">IFERROR((CG5*1000/$FV$3),0)</f>
        <v>0.10051020648878964</v>
      </c>
      <c r="CI5" s="428"/>
      <c r="CJ5" s="423">
        <v>21.96</v>
      </c>
      <c r="CK5" s="424">
        <f>CJ5*C5/GHG_Conversions!$G$11</f>
        <v>8573.5320364090658</v>
      </c>
      <c r="CL5" s="427">
        <f>EnergyConversions!$B$52*(GHG_Emissions!$C$4+GHG_Emissions!$C$5)</f>
        <v>3.1220783999999995</v>
      </c>
      <c r="CM5" s="402">
        <f t="shared" ref="CM5" si="27">CK5*CL5</f>
        <v>26767.239182580754</v>
      </c>
      <c r="CN5" s="426">
        <f t="shared" ref="CN5" si="28">IFERROR(CM5*1000/$FV$3,0)</f>
        <v>0.47347663478996072</v>
      </c>
      <c r="CP5" s="436">
        <v>13.97</v>
      </c>
      <c r="CQ5" s="437">
        <f>(GHG_Emissions!$E$4+GHG_Emissions!$E$5)</f>
        <v>87.73333333333332</v>
      </c>
      <c r="CR5" s="433">
        <f t="shared" ref="CR5" si="29">C5*CP5*CQ5/1000</f>
        <v>17158.885333333332</v>
      </c>
      <c r="CS5" s="431">
        <f t="shared" ref="CS5" si="30">IFERROR((CR5*1000/$FV$3),0)</f>
        <v>0.30351771540415451</v>
      </c>
      <c r="CU5" s="430">
        <f>BE5+BK5+AP5+AU5+AZ5+BR5+BW5+CB5+CG5+CM5+CR5</f>
        <v>243835.73126215584</v>
      </c>
      <c r="CV5" s="431">
        <f t="shared" ref="CV5" si="31">IFERROR((CU5*1000/$FV$3),0)</f>
        <v>4.3131277264741668</v>
      </c>
      <c r="CX5" s="441">
        <f>SUMIF(Transport!B:B,'Feed + carbon calculator'!A5,Transport!M:M)</f>
        <v>32333.692500000001</v>
      </c>
      <c r="CY5" s="563">
        <f t="shared" ref="CY4:CY9" si="32">IFERROR(CX5/$FV5*1000,0)</f>
        <v>0.66927708165245547</v>
      </c>
      <c r="DA5" s="432" t="s">
        <v>85</v>
      </c>
      <c r="DB5" s="433">
        <v>0</v>
      </c>
      <c r="DC5" s="433">
        <v>0</v>
      </c>
      <c r="DD5" s="434"/>
      <c r="DE5" s="566">
        <v>0</v>
      </c>
      <c r="DF5" s="564">
        <f t="shared" ref="DF5:DF20" si="33">IFERROR(DE5/$FV$3*1000,0)</f>
        <v>0</v>
      </c>
      <c r="DI5" s="438">
        <f>DI22*$N5</f>
        <v>0</v>
      </c>
      <c r="DJ5" s="439">
        <f>IFERROR(DI5/$FV$5*1000,0)</f>
        <v>0</v>
      </c>
      <c r="DL5" s="438">
        <f>$DL$21*$N5</f>
        <v>42708.374292572786</v>
      </c>
      <c r="DM5" s="439">
        <f>IFERROR(DL5/$FV$5*1000,0)</f>
        <v>0.88402325557632688</v>
      </c>
      <c r="DO5" s="438">
        <f>$DO$21*$N5</f>
        <v>538093.61015044618</v>
      </c>
      <c r="DP5" s="439">
        <f>IFERROR(DO5/$FV$5*1000,0)</f>
        <v>11.138032597338663</v>
      </c>
      <c r="DQ5" s="439"/>
      <c r="DR5" s="438">
        <f>$DR$21*$N5</f>
        <v>0</v>
      </c>
      <c r="DS5" s="439">
        <f>IFERROR(DR5/$FV$5*1000,0)</f>
        <v>0</v>
      </c>
      <c r="DU5" s="438">
        <f>$DU$21*$N5</f>
        <v>34033.750747309467</v>
      </c>
      <c r="DV5" s="439">
        <f>IFERROR(DU5/$FV$5*1000,0)</f>
        <v>0.70446669145029917</v>
      </c>
      <c r="DX5" s="702">
        <f>$DX$21*$N5</f>
        <v>-78235.259990701728</v>
      </c>
      <c r="DY5" s="703">
        <f>IFERROR(DX5/$FV$5*1000,0)</f>
        <v>-1.6193964388353714</v>
      </c>
      <c r="EA5" s="438"/>
      <c r="EB5" s="439"/>
      <c r="ED5" s="435">
        <f>$ED$21*$N5</f>
        <v>100450.95270859644</v>
      </c>
      <c r="EE5" s="434">
        <f>IFERROR(ED5/$FV$5*1000,0)</f>
        <v>2.0792404232216355</v>
      </c>
      <c r="EG5" s="435">
        <f>$I$28*7.5%*N5*$EG$24</f>
        <v>0</v>
      </c>
      <c r="EH5" s="434">
        <f>IFERROR(EG5/$FV$5*1000,0)</f>
        <v>0</v>
      </c>
      <c r="EJ5" s="570">
        <f t="shared" ref="EJ5:EJ20" si="34">IFERROR(DI5+DL5+DO5+DR5+DU5+DX5+EA5+ED5+EG5,0)</f>
        <v>637051.42790822312</v>
      </c>
      <c r="EK5" s="562">
        <f t="shared" ref="EK5:EK20" si="35">IFERROR(EJ5/$FV$3*1000,0)</f>
        <v>11.268587104433806</v>
      </c>
      <c r="EM5" s="435">
        <f>$EM$21*N5</f>
        <v>44977.181734255042</v>
      </c>
      <c r="EN5" s="434">
        <f>IFERROR(EM5/$FV$5*1000,0)</f>
        <v>0.93098543978713022</v>
      </c>
      <c r="EP5" s="445"/>
      <c r="EW5" s="445"/>
      <c r="FD5" s="443">
        <f t="shared" si="0"/>
        <v>16354.416293779326</v>
      </c>
      <c r="FE5" s="444">
        <f t="shared" ref="FE5:FE9" si="36">IFERROR(FD5/$FV$3*1000,0)</f>
        <v>0.28928773482817427</v>
      </c>
      <c r="FG5" s="402">
        <f t="shared" ref="FG5:FG20" si="37">IFERROR(EM5+FD5,0)</f>
        <v>61331.598028034365</v>
      </c>
      <c r="FH5" s="426">
        <f t="shared" ref="FH5:FH20" si="38">IFERROR(FG5/$FV$3*1000,0)</f>
        <v>1.0848738804374711</v>
      </c>
      <c r="FJ5" s="402">
        <v>0</v>
      </c>
      <c r="FK5" s="781">
        <f t="shared" ref="FK5:FK20" si="39">IFERROR(FJ5/$FV$3*1000,0)</f>
        <v>0</v>
      </c>
      <c r="FM5" s="402">
        <f t="shared" ref="FM5:FM20" si="40">IFERROR(-$I$28*N5*$FN$23,0)</f>
        <v>0</v>
      </c>
      <c r="FN5" s="781">
        <f t="shared" ref="FN5:FN20" si="41">IFERROR(FM5/$FV$3*1000,0)</f>
        <v>0</v>
      </c>
      <c r="FP5" s="560">
        <f>IFERROR(-$I$28*N5*$FQ$23,0)</f>
        <v>-1595671.9224083568</v>
      </c>
      <c r="FQ5" s="563">
        <f t="shared" ref="FQ5:FQ20" si="42">IFERROR(FP5/$FV5*1000,0)</f>
        <v>-33.028910864548749</v>
      </c>
      <c r="FS5" s="402">
        <f t="shared" ref="FS5:FS20" si="43">CU5+CX5+DB5+DE5+EJ5+FG5+FJ5+FM5+FP5+EM5+FD5</f>
        <v>-559787.87468190922</v>
      </c>
      <c r="FT5" s="426">
        <f t="shared" ref="FT5:FT20" si="44">CV5+CY5+DC5+DF5+EK5+FH5+FK5+FN5+FQ5+FE5+EN5</f>
        <v>-14.472771896935543</v>
      </c>
      <c r="FV5" s="402">
        <f t="shared" ref="FV5:FV20" si="45">$FV$21*N5</f>
        <v>48311369.664963901</v>
      </c>
      <c r="FW5" s="402">
        <f t="shared" ref="FW5:FW20" si="46">FV5/$B$29</f>
        <v>43455955.628284112</v>
      </c>
    </row>
    <row r="6" spans="1:179" ht="15.5" x14ac:dyDescent="0.35">
      <c r="A6" s="621" t="s">
        <v>98</v>
      </c>
      <c r="B6" s="398" t="s">
        <v>693</v>
      </c>
      <c r="C6" s="730">
        <v>20000</v>
      </c>
      <c r="D6" s="734">
        <v>0.86880000000000002</v>
      </c>
      <c r="E6" s="734">
        <v>0.91559999999999997</v>
      </c>
      <c r="F6" s="734">
        <v>0.61</v>
      </c>
      <c r="G6" s="695">
        <v>300</v>
      </c>
      <c r="H6" s="589">
        <f t="shared" si="1"/>
        <v>7824327.3442622945</v>
      </c>
      <c r="I6" s="589">
        <f t="shared" si="2"/>
        <v>4772839.68</v>
      </c>
      <c r="J6" s="589">
        <f t="shared" si="3"/>
        <v>52766394.239999995</v>
      </c>
      <c r="K6" s="589">
        <f t="shared" si="4"/>
        <v>47463239.039999992</v>
      </c>
      <c r="L6" s="590">
        <f t="shared" ref="L6:L7" si="47">M6*$B$29</f>
        <v>189959019.264</v>
      </c>
      <c r="M6" s="590">
        <f t="shared" ref="M6:M7" si="48">K6*3.6</f>
        <v>170867660.54399997</v>
      </c>
      <c r="N6" s="593">
        <f t="shared" ref="N6:N10" si="49">IFERROR(M6/$M$21,"-")</f>
        <v>0.41201204429781868</v>
      </c>
      <c r="O6" s="597">
        <f t="shared" si="5"/>
        <v>11.818838608410676</v>
      </c>
      <c r="Q6" s="446"/>
      <c r="R6" s="446"/>
      <c r="S6" s="446"/>
      <c r="T6" s="446"/>
      <c r="U6" s="446"/>
      <c r="V6" s="446"/>
      <c r="W6" s="446"/>
      <c r="X6" s="446"/>
      <c r="Y6" s="446"/>
      <c r="Z6" s="446"/>
      <c r="AA6" s="446"/>
      <c r="AB6" s="446"/>
      <c r="AC6" s="446"/>
      <c r="AD6" s="446"/>
      <c r="AE6" s="446"/>
      <c r="AF6" s="446"/>
      <c r="AG6" s="446"/>
      <c r="AH6" s="446"/>
      <c r="AI6" s="446"/>
      <c r="AJ6" s="446"/>
      <c r="AK6" s="446"/>
      <c r="AM6" s="446"/>
      <c r="AN6" s="446"/>
      <c r="AO6" s="446"/>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O6" s="446"/>
      <c r="BP6" s="446"/>
      <c r="BQ6" s="446"/>
      <c r="BR6" s="446"/>
      <c r="BS6" s="446"/>
      <c r="BT6" s="446"/>
      <c r="BU6" s="446"/>
      <c r="BV6" s="446"/>
      <c r="BW6" s="446"/>
      <c r="BX6" s="446"/>
      <c r="BY6" s="446"/>
      <c r="BZ6" s="446"/>
      <c r="CA6" s="446"/>
      <c r="CB6" s="446"/>
      <c r="CC6" s="446"/>
      <c r="CD6" s="446"/>
      <c r="CE6" s="446"/>
      <c r="CF6" s="446"/>
      <c r="CG6" s="446"/>
      <c r="CH6" s="446"/>
      <c r="CJ6" s="446"/>
      <c r="CK6" s="446"/>
      <c r="CL6" s="446"/>
      <c r="CM6" s="446"/>
      <c r="CN6" s="446"/>
      <c r="CP6" s="446"/>
      <c r="CQ6" s="446"/>
      <c r="CR6" s="446"/>
      <c r="CS6" s="446"/>
      <c r="CU6" s="446"/>
      <c r="CV6" s="446"/>
      <c r="CX6" s="441">
        <f>SUMIF(Transport!B:B,'Feed + carbon calculator'!A6,Transport!M:M)</f>
        <v>22485.75</v>
      </c>
      <c r="CY6" s="563">
        <f t="shared" si="32"/>
        <v>0.14131469629473328</v>
      </c>
      <c r="DA6" s="432" t="s">
        <v>85</v>
      </c>
      <c r="DB6" s="433">
        <v>0</v>
      </c>
      <c r="DC6" s="433">
        <v>0</v>
      </c>
      <c r="DD6" s="434"/>
      <c r="DE6" s="566">
        <v>0</v>
      </c>
      <c r="DF6" s="564">
        <f t="shared" si="33"/>
        <v>0</v>
      </c>
      <c r="DI6" s="438">
        <f t="shared" ref="DI6:DI10" si="50">DI23*$N6</f>
        <v>0</v>
      </c>
      <c r="DJ6" s="439">
        <f t="shared" ref="DJ6:DJ10" si="51">IFERROR(DI6/$FV$5*1000,0)</f>
        <v>0</v>
      </c>
      <c r="DL6" s="438">
        <f t="shared" ref="DL6:DL11" si="52">$DL$21*$N6</f>
        <v>140664.25106711447</v>
      </c>
      <c r="DM6" s="439">
        <f t="shared" ref="DM6:DM11" si="53">IFERROR(DL6/$FV$5*1000,0)</f>
        <v>2.9116179492035017</v>
      </c>
      <c r="DO6" s="438">
        <f t="shared" ref="DO6:DO16" si="54">$DO$21*$N6</f>
        <v>1772264.4780926574</v>
      </c>
      <c r="DP6" s="439">
        <f t="shared" ref="DP6:DP16" si="55">IFERROR(DO6/$FV$5*1000,0)</f>
        <v>36.684210991805699</v>
      </c>
      <c r="DQ6" s="439"/>
      <c r="DR6" s="438">
        <f t="shared" ref="DR6:DR14" si="56">$DR$21*$N6</f>
        <v>0</v>
      </c>
      <c r="DS6" s="439">
        <f t="shared" ref="DS6:DS14" si="57">IFERROR(DR6/$FV$5*1000,0)</f>
        <v>0</v>
      </c>
      <c r="DU6" s="438">
        <f t="shared" ref="DU6:DU14" si="58">$DU$21*$N6</f>
        <v>112093.52121622846</v>
      </c>
      <c r="DV6" s="439">
        <f>IFERROR(DU6/$FV$6*1000,0)</f>
        <v>0.70446669145029928</v>
      </c>
      <c r="DX6" s="702">
        <f t="shared" ref="DX6:DX14" si="59">$DX$21*$N6</f>
        <v>-257675.55979172108</v>
      </c>
      <c r="DY6" s="703">
        <f>IFERROR(DX6/$FV$6*1000,0)</f>
        <v>-1.6193964388353714</v>
      </c>
      <c r="EA6" s="438"/>
      <c r="EB6" s="439"/>
      <c r="ED6" s="435">
        <f t="shared" ref="ED6:ED12" si="60">$ED$21*$N6</f>
        <v>330845.13905719208</v>
      </c>
      <c r="EE6" s="434">
        <f t="shared" ref="EE6:EE12" si="61">IFERROR(ED6/$FV$5*1000,0)</f>
        <v>6.8481837992087753</v>
      </c>
      <c r="EG6" s="435">
        <f t="shared" ref="EG6" si="62">$I$28*7.5%*N6*$EG$24</f>
        <v>0</v>
      </c>
      <c r="EH6" s="434">
        <f>IFERROR(EG6/$FV$6*1000,0)</f>
        <v>0</v>
      </c>
      <c r="EJ6" s="570">
        <f t="shared" si="34"/>
        <v>2098191.8296414712</v>
      </c>
      <c r="EK6" s="562">
        <f t="shared" si="35"/>
        <v>37.114205161992793</v>
      </c>
      <c r="EM6" s="435">
        <f t="shared" ref="EM6:EM10" si="63">$EM$21*N6</f>
        <v>148136.79257416102</v>
      </c>
      <c r="EN6" s="434">
        <f t="shared" ref="EN6:EN10" si="64">IFERROR(EM6/$FV$5*1000,0)</f>
        <v>3.0662925435871453</v>
      </c>
      <c r="EP6" s="445"/>
      <c r="EW6" s="445"/>
      <c r="FD6" s="443">
        <f t="shared" si="0"/>
        <v>53864.886165998338</v>
      </c>
      <c r="FE6" s="444">
        <f t="shared" si="36"/>
        <v>0.95279774134563044</v>
      </c>
      <c r="FG6" s="402">
        <f t="shared" ref="FG6:FG11" si="65">IFERROR(EM6+FD6,0)</f>
        <v>202001.67874015938</v>
      </c>
      <c r="FH6" s="426">
        <f t="shared" si="38"/>
        <v>3.5731393297391238</v>
      </c>
      <c r="FJ6" s="402">
        <v>0</v>
      </c>
      <c r="FK6" s="781">
        <f t="shared" si="39"/>
        <v>0</v>
      </c>
      <c r="FM6" s="402">
        <f t="shared" si="40"/>
        <v>0</v>
      </c>
      <c r="FN6" s="781">
        <f t="shared" si="41"/>
        <v>0</v>
      </c>
      <c r="FP6" s="560">
        <f t="shared" ref="FP6:FP10" si="66">IFERROR(-$I$28*N6*$FQ$23,0)</f>
        <v>-5255503.1567527503</v>
      </c>
      <c r="FQ6" s="563">
        <f t="shared" si="42"/>
        <v>-33.028910864548749</v>
      </c>
      <c r="FS6" s="402">
        <f>CU6+CX6+DB6+DE6+EJ6+FG6+FJ6+FM6+FP6+EM6+FD6</f>
        <v>-2730822.2196309604</v>
      </c>
      <c r="FT6" s="426">
        <f t="shared" si="44"/>
        <v>11.818838608410676</v>
      </c>
      <c r="FV6" s="402">
        <f t="shared" si="45"/>
        <v>159118270.00004691</v>
      </c>
      <c r="FW6" s="402">
        <f t="shared" si="46"/>
        <v>143126484.07039395</v>
      </c>
    </row>
    <row r="7" spans="1:179" ht="15.5" x14ac:dyDescent="0.35">
      <c r="A7" s="621" t="s">
        <v>788</v>
      </c>
      <c r="B7" s="398" t="s">
        <v>693</v>
      </c>
      <c r="C7" s="730">
        <v>10000</v>
      </c>
      <c r="D7" s="734">
        <v>0.25</v>
      </c>
      <c r="E7" s="734">
        <v>0.8</v>
      </c>
      <c r="F7" s="734">
        <v>0.52500000000000002</v>
      </c>
      <c r="G7" s="695">
        <v>248</v>
      </c>
      <c r="H7" s="589">
        <f t="shared" si="1"/>
        <v>944761.90476190473</v>
      </c>
      <c r="I7" s="589">
        <f t="shared" si="2"/>
        <v>496000</v>
      </c>
      <c r="J7" s="589">
        <f t="shared" si="3"/>
        <v>5483555.555555556</v>
      </c>
      <c r="K7" s="589">
        <f t="shared" si="4"/>
        <v>4932444.444444444</v>
      </c>
      <c r="L7" s="590">
        <f t="shared" si="47"/>
        <v>19740800</v>
      </c>
      <c r="M7" s="590">
        <f t="shared" si="48"/>
        <v>17756800</v>
      </c>
      <c r="N7" s="593">
        <f t="shared" si="49"/>
        <v>4.2816852790604966E-2</v>
      </c>
      <c r="O7" s="597">
        <f t="shared" si="5"/>
        <v>-27.114803048697777</v>
      </c>
      <c r="Q7" s="446"/>
      <c r="R7" s="446"/>
      <c r="S7" s="446"/>
      <c r="T7" s="446"/>
      <c r="U7" s="446"/>
      <c r="V7" s="446"/>
      <c r="W7" s="446"/>
      <c r="X7" s="446"/>
      <c r="Y7" s="446"/>
      <c r="Z7" s="446"/>
      <c r="AA7" s="446"/>
      <c r="AB7" s="446"/>
      <c r="AC7" s="446"/>
      <c r="AD7" s="446"/>
      <c r="AE7" s="446"/>
      <c r="AF7" s="446"/>
      <c r="AG7" s="446"/>
      <c r="AH7" s="446"/>
      <c r="AI7" s="446"/>
      <c r="AJ7" s="446"/>
      <c r="AK7" s="446"/>
      <c r="AM7" s="446"/>
      <c r="AN7" s="446"/>
      <c r="AO7" s="446"/>
      <c r="AP7" s="446"/>
      <c r="AQ7" s="446"/>
      <c r="AR7" s="446"/>
      <c r="AS7" s="446"/>
      <c r="AT7" s="446"/>
      <c r="AU7" s="446"/>
      <c r="AV7" s="446"/>
      <c r="AW7" s="446"/>
      <c r="AX7" s="446"/>
      <c r="AY7" s="446"/>
      <c r="AZ7" s="446"/>
      <c r="BA7" s="446"/>
      <c r="BB7" s="446"/>
      <c r="BC7" s="446"/>
      <c r="BD7" s="446"/>
      <c r="BE7" s="446"/>
      <c r="BF7" s="446"/>
      <c r="BG7" s="446"/>
      <c r="BH7" s="446"/>
      <c r="BI7" s="446"/>
      <c r="BJ7" s="446"/>
      <c r="BK7" s="446"/>
      <c r="BL7" s="446"/>
      <c r="BM7" s="446"/>
      <c r="BO7" s="446"/>
      <c r="BP7" s="446"/>
      <c r="BQ7" s="446"/>
      <c r="BR7" s="446"/>
      <c r="BS7" s="446"/>
      <c r="BT7" s="446"/>
      <c r="BU7" s="446"/>
      <c r="BV7" s="446"/>
      <c r="BW7" s="446"/>
      <c r="BX7" s="446"/>
      <c r="BY7" s="446"/>
      <c r="BZ7" s="446"/>
      <c r="CA7" s="446"/>
      <c r="CB7" s="446"/>
      <c r="CC7" s="446"/>
      <c r="CD7" s="446"/>
      <c r="CE7" s="446"/>
      <c r="CF7" s="446"/>
      <c r="CG7" s="446"/>
      <c r="CH7" s="446"/>
      <c r="CJ7" s="446"/>
      <c r="CK7" s="446"/>
      <c r="CL7" s="446"/>
      <c r="CM7" s="446"/>
      <c r="CN7" s="446"/>
      <c r="CP7" s="446"/>
      <c r="CQ7" s="446"/>
      <c r="CR7" s="446"/>
      <c r="CS7" s="446"/>
      <c r="CU7" s="446"/>
      <c r="CV7" s="446"/>
      <c r="CX7" s="441">
        <f>SUMIF(Transport!B:B,'Feed + carbon calculator'!A7,Transport!M:M)</f>
        <v>20969.928571428572</v>
      </c>
      <c r="CY7" s="563">
        <f t="shared" si="32"/>
        <v>1.2681542251312152</v>
      </c>
      <c r="DA7" s="432" t="s">
        <v>85</v>
      </c>
      <c r="DB7" s="433">
        <v>0</v>
      </c>
      <c r="DC7" s="433">
        <v>0</v>
      </c>
      <c r="DD7" s="434"/>
      <c r="DE7" s="566">
        <v>0</v>
      </c>
      <c r="DF7" s="564">
        <f t="shared" si="33"/>
        <v>0</v>
      </c>
      <c r="DI7" s="438">
        <f t="shared" si="50"/>
        <v>0</v>
      </c>
      <c r="DJ7" s="439">
        <f t="shared" si="51"/>
        <v>0</v>
      </c>
      <c r="DL7" s="438">
        <f t="shared" si="52"/>
        <v>14618.020551088108</v>
      </c>
      <c r="DM7" s="439">
        <f t="shared" si="53"/>
        <v>0.30257930281138989</v>
      </c>
      <c r="DO7" s="438">
        <f t="shared" si="54"/>
        <v>184176.13833070511</v>
      </c>
      <c r="DP7" s="439">
        <f t="shared" si="55"/>
        <v>3.8122731689859806</v>
      </c>
      <c r="DQ7" s="439"/>
      <c r="DR7" s="438">
        <f t="shared" si="56"/>
        <v>0</v>
      </c>
      <c r="DS7" s="439">
        <f t="shared" si="57"/>
        <v>0</v>
      </c>
      <c r="DU7" s="438">
        <f t="shared" si="58"/>
        <v>11648.911392567314</v>
      </c>
      <c r="DV7" s="439">
        <f t="shared" ref="DV7:DV14" si="67">IFERROR(DU7/$FV$6*1000,0)</f>
        <v>7.3209138036530189E-2</v>
      </c>
      <c r="DX7" s="702">
        <f t="shared" si="59"/>
        <v>-26777.995119394767</v>
      </c>
      <c r="DY7" s="703">
        <f t="shared" ref="DY7:DY14" si="68">IFERROR(DX7/$FV$6*1000,0)</f>
        <v>-0.16828988348972668</v>
      </c>
      <c r="EA7" s="438"/>
      <c r="EB7" s="439"/>
      <c r="ED7" s="435">
        <f t="shared" si="60"/>
        <v>34381.877451280176</v>
      </c>
      <c r="EE7" s="434">
        <f t="shared" si="61"/>
        <v>0.71167258742023221</v>
      </c>
      <c r="EG7" s="435"/>
      <c r="EH7" s="434"/>
      <c r="EJ7" s="570">
        <f t="shared" si="34"/>
        <v>218046.95260624593</v>
      </c>
      <c r="EK7" s="562">
        <f t="shared" si="35"/>
        <v>3.8569587487900767</v>
      </c>
      <c r="EM7" s="435">
        <f t="shared" si="63"/>
        <v>15394.577241861994</v>
      </c>
      <c r="EN7" s="434">
        <f t="shared" si="64"/>
        <v>0.3186532973215695</v>
      </c>
      <c r="EP7" s="445"/>
      <c r="EW7" s="445"/>
      <c r="FD7" s="443">
        <f t="shared" si="0"/>
        <v>5597.7123326160372</v>
      </c>
      <c r="FE7" s="444">
        <f t="shared" si="36"/>
        <v>9.9016038960569652E-2</v>
      </c>
      <c r="FG7" s="402">
        <f t="shared" si="65"/>
        <v>20992.289574478033</v>
      </c>
      <c r="FH7" s="426">
        <f t="shared" si="38"/>
        <v>0.37132550564753219</v>
      </c>
      <c r="FJ7" s="402">
        <v>0</v>
      </c>
      <c r="FK7" s="781">
        <f t="shared" si="39"/>
        <v>0</v>
      </c>
      <c r="FM7" s="402">
        <f t="shared" si="40"/>
        <v>0</v>
      </c>
      <c r="FN7" s="781">
        <f t="shared" si="41"/>
        <v>0</v>
      </c>
      <c r="FP7" s="560">
        <f t="shared" si="66"/>
        <v>-546159.04587630404</v>
      </c>
      <c r="FQ7" s="563">
        <f t="shared" si="42"/>
        <v>-33.028910864548742</v>
      </c>
      <c r="FS7" s="402">
        <f t="shared" si="43"/>
        <v>-265157.58554967341</v>
      </c>
      <c r="FT7" s="426">
        <f t="shared" si="44"/>
        <v>-27.114803048697777</v>
      </c>
      <c r="FV7" s="402">
        <f t="shared" si="45"/>
        <v>16535787.332379723</v>
      </c>
      <c r="FW7" s="402">
        <f t="shared" si="46"/>
        <v>14873899.158271207</v>
      </c>
    </row>
    <row r="8" spans="1:179" ht="15.5" x14ac:dyDescent="0.35">
      <c r="A8" s="621" t="s">
        <v>882</v>
      </c>
      <c r="B8" s="398" t="s">
        <v>693</v>
      </c>
      <c r="C8" s="730">
        <v>15000</v>
      </c>
      <c r="D8" s="731">
        <v>0.68</v>
      </c>
      <c r="E8" s="731">
        <v>0.72</v>
      </c>
      <c r="F8" s="731">
        <v>0.64</v>
      </c>
      <c r="G8" s="695">
        <v>233</v>
      </c>
      <c r="H8" s="589">
        <f t="shared" si="1"/>
        <v>2673675</v>
      </c>
      <c r="I8" s="589">
        <f t="shared" si="2"/>
        <v>1711152</v>
      </c>
      <c r="J8" s="589">
        <f t="shared" si="3"/>
        <v>18917735.999999996</v>
      </c>
      <c r="K8" s="589">
        <f t="shared" si="4"/>
        <v>17016455.999999996</v>
      </c>
      <c r="L8" s="590">
        <f t="shared" ref="L8:L20" si="69">M8*$B$29</f>
        <v>68103849.599999994</v>
      </c>
      <c r="M8" s="590">
        <f t="shared" si="10"/>
        <v>61259241.599999987</v>
      </c>
      <c r="N8" s="593">
        <f t="shared" si="49"/>
        <v>0.147713998561188</v>
      </c>
      <c r="O8" s="597">
        <f t="shared" si="5"/>
        <v>-16.727938676335242</v>
      </c>
      <c r="Q8" s="446"/>
      <c r="R8" s="446"/>
      <c r="S8" s="446"/>
      <c r="T8" s="446"/>
      <c r="U8" s="446"/>
      <c r="V8" s="446"/>
      <c r="W8" s="446"/>
      <c r="X8" s="446"/>
      <c r="Y8" s="446"/>
      <c r="Z8" s="446"/>
      <c r="AA8" s="446"/>
      <c r="AB8" s="446"/>
      <c r="AC8" s="446"/>
      <c r="AD8" s="446"/>
      <c r="AE8" s="446"/>
      <c r="AF8" s="446"/>
      <c r="AG8" s="446"/>
      <c r="AH8" s="446"/>
      <c r="AI8" s="446"/>
      <c r="AJ8" s="446"/>
      <c r="AK8" s="446"/>
      <c r="AM8" s="446"/>
      <c r="AN8" s="446"/>
      <c r="AO8" s="446"/>
      <c r="AP8" s="446"/>
      <c r="AQ8" s="446"/>
      <c r="AR8" s="446"/>
      <c r="AS8" s="446"/>
      <c r="AT8" s="446"/>
      <c r="AU8" s="446"/>
      <c r="AV8" s="446"/>
      <c r="AW8" s="446"/>
      <c r="AX8" s="446"/>
      <c r="AY8" s="446"/>
      <c r="AZ8" s="446"/>
      <c r="BA8" s="446"/>
      <c r="BB8" s="446"/>
      <c r="BC8" s="446"/>
      <c r="BD8" s="446"/>
      <c r="BE8" s="446"/>
      <c r="BF8" s="446"/>
      <c r="BG8" s="446"/>
      <c r="BH8" s="446"/>
      <c r="BI8" s="446"/>
      <c r="BJ8" s="446"/>
      <c r="BK8" s="446"/>
      <c r="BL8" s="446"/>
      <c r="BM8" s="446"/>
      <c r="BO8" s="446"/>
      <c r="BP8" s="446"/>
      <c r="BQ8" s="446"/>
      <c r="BR8" s="446"/>
      <c r="BS8" s="446"/>
      <c r="BT8" s="446"/>
      <c r="BU8" s="446"/>
      <c r="BV8" s="446"/>
      <c r="BW8" s="446"/>
      <c r="BX8" s="446"/>
      <c r="BY8" s="446"/>
      <c r="BZ8" s="446"/>
      <c r="CA8" s="446"/>
      <c r="CB8" s="446"/>
      <c r="CC8" s="446"/>
      <c r="CD8" s="446"/>
      <c r="CE8" s="446"/>
      <c r="CF8" s="446"/>
      <c r="CG8" s="446"/>
      <c r="CH8" s="446"/>
      <c r="CJ8" s="446"/>
      <c r="CK8" s="446"/>
      <c r="CL8" s="446"/>
      <c r="CM8" s="446"/>
      <c r="CN8" s="446"/>
      <c r="CP8" s="446"/>
      <c r="CQ8" s="446"/>
      <c r="CR8" s="446"/>
      <c r="CS8" s="446"/>
      <c r="CU8" s="446"/>
      <c r="CV8" s="446"/>
      <c r="CX8" s="441">
        <f>SUMIF(Transport!B:B,'Feed + carbon calculator'!A8,Transport!M:M)</f>
        <v>15567.057692307691</v>
      </c>
      <c r="CY8" s="563">
        <f t="shared" si="32"/>
        <v>0.27288190864237699</v>
      </c>
      <c r="DA8" s="446"/>
      <c r="DB8" s="446"/>
      <c r="DC8" s="446"/>
      <c r="DD8" s="434"/>
      <c r="DE8" s="566">
        <v>0</v>
      </c>
      <c r="DF8" s="564">
        <f t="shared" si="33"/>
        <v>0</v>
      </c>
      <c r="DI8" s="438">
        <f t="shared" si="50"/>
        <v>0</v>
      </c>
      <c r="DJ8" s="439">
        <f t="shared" si="51"/>
        <v>0</v>
      </c>
      <c r="DL8" s="438">
        <f t="shared" si="52"/>
        <v>50430.756254103857</v>
      </c>
      <c r="DM8" s="439">
        <f t="shared" si="53"/>
        <v>1.0438693128312808</v>
      </c>
      <c r="DO8" s="438">
        <f t="shared" si="54"/>
        <v>635389.85374367458</v>
      </c>
      <c r="DP8" s="439">
        <f t="shared" si="55"/>
        <v>13.151973503340113</v>
      </c>
      <c r="DQ8" s="439"/>
      <c r="DR8" s="438">
        <f t="shared" si="56"/>
        <v>0</v>
      </c>
      <c r="DS8" s="439">
        <f t="shared" si="57"/>
        <v>0</v>
      </c>
      <c r="DU8" s="438">
        <f t="shared" si="58"/>
        <v>40187.616990351482</v>
      </c>
      <c r="DV8" s="439">
        <f t="shared" si="67"/>
        <v>0.2525644414707352</v>
      </c>
      <c r="DX8" s="702">
        <f t="shared" si="59"/>
        <v>-92381.491743029401</v>
      </c>
      <c r="DY8" s="703">
        <f t="shared" si="68"/>
        <v>-0.58058381192179986</v>
      </c>
      <c r="EA8" s="438"/>
      <c r="EB8" s="439"/>
      <c r="ED8" s="435">
        <f t="shared" si="60"/>
        <v>118614.14992845355</v>
      </c>
      <c r="EE8" s="434">
        <f t="shared" si="61"/>
        <v>2.4552015550590824</v>
      </c>
      <c r="EG8" s="435">
        <f t="shared" ref="EG8:EG20" si="70">$I$28*7.5%*N8*$EG$24</f>
        <v>0</v>
      </c>
      <c r="EH8" s="434">
        <f>IFERROR(EG8/$FV$8*1000,0)</f>
        <v>0</v>
      </c>
      <c r="EJ8" s="570">
        <f t="shared" si="34"/>
        <v>752240.88517355407</v>
      </c>
      <c r="EK8" s="562">
        <f t="shared" si="35"/>
        <v>13.306134429253296</v>
      </c>
      <c r="EM8" s="435">
        <f t="shared" si="63"/>
        <v>53109.80168662627</v>
      </c>
      <c r="EN8" s="434">
        <f t="shared" si="64"/>
        <v>1.0993230383435446</v>
      </c>
      <c r="EP8" s="445"/>
      <c r="EW8" s="445"/>
      <c r="FD8" s="443">
        <f t="shared" si="0"/>
        <v>19311.565833428616</v>
      </c>
      <c r="FE8" s="444">
        <f t="shared" si="36"/>
        <v>0.3415957522166464</v>
      </c>
      <c r="FG8" s="402">
        <f t="shared" si="65"/>
        <v>72421.36752005489</v>
      </c>
      <c r="FH8" s="426">
        <f t="shared" si="38"/>
        <v>1.2810370597576328</v>
      </c>
      <c r="FJ8" s="402">
        <v>0</v>
      </c>
      <c r="FK8" s="781">
        <f t="shared" si="39"/>
        <v>0</v>
      </c>
      <c r="FM8" s="402">
        <f t="shared" si="40"/>
        <v>0</v>
      </c>
      <c r="FN8" s="781">
        <f t="shared" si="41"/>
        <v>0</v>
      </c>
      <c r="FP8" s="560">
        <f t="shared" si="66"/>
        <v>-1884195.8541720347</v>
      </c>
      <c r="FQ8" s="563">
        <f t="shared" si="42"/>
        <v>-33.028910864548742</v>
      </c>
      <c r="FS8" s="402">
        <f t="shared" si="43"/>
        <v>-971545.176266063</v>
      </c>
      <c r="FT8" s="426">
        <f t="shared" si="44"/>
        <v>-16.727938676335242</v>
      </c>
      <c r="FV8" s="402">
        <f t="shared" si="45"/>
        <v>57046866.059226245</v>
      </c>
      <c r="FW8" s="402">
        <f t="shared" si="46"/>
        <v>51313512.686439686</v>
      </c>
    </row>
    <row r="9" spans="1:179" ht="15.5" x14ac:dyDescent="0.35">
      <c r="A9" s="621" t="s">
        <v>883</v>
      </c>
      <c r="B9" s="398" t="s">
        <v>693</v>
      </c>
      <c r="C9" s="730">
        <v>5000</v>
      </c>
      <c r="D9" s="732">
        <v>0.11</v>
      </c>
      <c r="E9" s="732">
        <v>0.9</v>
      </c>
      <c r="F9" s="731">
        <v>0.55000000000000004</v>
      </c>
      <c r="G9" s="695">
        <v>164</v>
      </c>
      <c r="H9" s="589">
        <f t="shared" si="1"/>
        <v>147600</v>
      </c>
      <c r="I9" s="589">
        <f t="shared" si="2"/>
        <v>81180</v>
      </c>
      <c r="J9" s="589">
        <f t="shared" si="3"/>
        <v>897490</v>
      </c>
      <c r="K9" s="589">
        <f t="shared" si="4"/>
        <v>807289.99999999988</v>
      </c>
      <c r="L9" s="590">
        <f t="shared" si="69"/>
        <v>3230964</v>
      </c>
      <c r="M9" s="590">
        <f t="shared" si="10"/>
        <v>2906243.9999999995</v>
      </c>
      <c r="N9" s="593">
        <f t="shared" si="49"/>
        <v>7.0078066724623194E-3</v>
      </c>
      <c r="O9" s="597">
        <f t="shared" si="5"/>
        <v>-30.274505050627099</v>
      </c>
      <c r="Q9" s="446"/>
      <c r="R9" s="446"/>
      <c r="S9" s="446"/>
      <c r="T9" s="446"/>
      <c r="U9" s="446"/>
      <c r="V9" s="446"/>
      <c r="W9" s="446"/>
      <c r="X9" s="446"/>
      <c r="Y9" s="446"/>
      <c r="Z9" s="446"/>
      <c r="AA9" s="446"/>
      <c r="AB9" s="446"/>
      <c r="AC9" s="446"/>
      <c r="AD9" s="446"/>
      <c r="AE9" s="446"/>
      <c r="AF9" s="446"/>
      <c r="AG9" s="446"/>
      <c r="AH9" s="446"/>
      <c r="AI9" s="446"/>
      <c r="AJ9" s="446"/>
      <c r="AK9" s="446"/>
      <c r="AM9" s="446"/>
      <c r="AN9" s="446"/>
      <c r="AO9" s="446"/>
      <c r="AP9" s="446"/>
      <c r="AQ9" s="446"/>
      <c r="AR9" s="446"/>
      <c r="AS9" s="446"/>
      <c r="AT9" s="446"/>
      <c r="AU9" s="446"/>
      <c r="AV9" s="446"/>
      <c r="AW9" s="446"/>
      <c r="AX9" s="446"/>
      <c r="AY9" s="446"/>
      <c r="AZ9" s="446"/>
      <c r="BA9" s="446"/>
      <c r="BB9" s="446"/>
      <c r="BC9" s="446"/>
      <c r="BD9" s="446"/>
      <c r="BE9" s="446"/>
      <c r="BF9" s="446"/>
      <c r="BG9" s="446"/>
      <c r="BH9" s="446"/>
      <c r="BI9" s="446"/>
      <c r="BJ9" s="446"/>
      <c r="BK9" s="446"/>
      <c r="BL9" s="446"/>
      <c r="BM9" s="446"/>
      <c r="BO9" s="446"/>
      <c r="BP9" s="446"/>
      <c r="BQ9" s="446"/>
      <c r="BR9" s="446"/>
      <c r="BS9" s="446"/>
      <c r="BT9" s="446"/>
      <c r="BU9" s="446"/>
      <c r="BV9" s="446"/>
      <c r="BW9" s="446"/>
      <c r="BX9" s="446"/>
      <c r="BY9" s="446"/>
      <c r="BZ9" s="446"/>
      <c r="CA9" s="446"/>
      <c r="CB9" s="446"/>
      <c r="CC9" s="446"/>
      <c r="CD9" s="446"/>
      <c r="CE9" s="446"/>
      <c r="CF9" s="446"/>
      <c r="CG9" s="446"/>
      <c r="CH9" s="446"/>
      <c r="CJ9" s="446"/>
      <c r="CK9" s="446"/>
      <c r="CL9" s="446"/>
      <c r="CM9" s="446"/>
      <c r="CN9" s="446"/>
      <c r="CP9" s="446"/>
      <c r="CQ9" s="446"/>
      <c r="CR9" s="446"/>
      <c r="CS9" s="446"/>
      <c r="CU9" s="446"/>
      <c r="CV9" s="446"/>
      <c r="CX9" s="441">
        <f>SUMIF(Transport!B:B,'Feed + carbon calculator'!A9,Transport!M:M)</f>
        <v>5396.58</v>
      </c>
      <c r="CY9" s="563">
        <f t="shared" si="32"/>
        <v>1.9940055871179658</v>
      </c>
      <c r="DA9" s="446"/>
      <c r="DB9" s="446"/>
      <c r="DC9" s="446"/>
      <c r="DD9" s="434"/>
      <c r="DE9" s="566">
        <v>0</v>
      </c>
      <c r="DF9" s="564">
        <f t="shared" si="33"/>
        <v>0</v>
      </c>
      <c r="DI9" s="438">
        <f t="shared" si="50"/>
        <v>0</v>
      </c>
      <c r="DJ9" s="439">
        <f t="shared" si="51"/>
        <v>0</v>
      </c>
      <c r="DL9" s="438">
        <f t="shared" si="52"/>
        <v>2392.5219926155896</v>
      </c>
      <c r="DM9" s="439">
        <f t="shared" si="53"/>
        <v>4.9522959278686753E-2</v>
      </c>
      <c r="DO9" s="438">
        <f t="shared" si="54"/>
        <v>30143.989737271448</v>
      </c>
      <c r="DP9" s="439">
        <f t="shared" si="55"/>
        <v>0.62395229003685859</v>
      </c>
      <c r="DQ9" s="439"/>
      <c r="DR9" s="438">
        <f t="shared" si="56"/>
        <v>0</v>
      </c>
      <c r="DS9" s="439">
        <f t="shared" si="57"/>
        <v>0</v>
      </c>
      <c r="DU9" s="438">
        <f t="shared" si="58"/>
        <v>1906.5698121947869</v>
      </c>
      <c r="DV9" s="439">
        <f t="shared" si="67"/>
        <v>1.1982092390736934E-2</v>
      </c>
      <c r="DX9" s="702">
        <f t="shared" si="59"/>
        <v>-4382.7371850654572</v>
      </c>
      <c r="DY9" s="703">
        <f t="shared" si="68"/>
        <v>-2.7543896656645181E-2</v>
      </c>
      <c r="EA9" s="438"/>
      <c r="EB9" s="439"/>
      <c r="ED9" s="435">
        <f t="shared" si="60"/>
        <v>5627.2597005946054</v>
      </c>
      <c r="EE9" s="434">
        <f t="shared" si="61"/>
        <v>0.1164789932394646</v>
      </c>
      <c r="EG9" s="435">
        <f t="shared" si="70"/>
        <v>0</v>
      </c>
      <c r="EH9" s="434">
        <f>IFERROR(EG9/$FV$9*1000,0)</f>
        <v>0</v>
      </c>
      <c r="EJ9" s="570">
        <f t="shared" si="34"/>
        <v>35687.604057610974</v>
      </c>
      <c r="EK9" s="562">
        <f t="shared" si="35"/>
        <v>0.63126595005398867</v>
      </c>
      <c r="EM9" s="435">
        <f t="shared" si="63"/>
        <v>2519.6205251902347</v>
      </c>
      <c r="EN9" s="434">
        <f t="shared" si="64"/>
        <v>5.2153779589848799E-2</v>
      </c>
      <c r="EP9" s="445"/>
      <c r="EW9" s="445"/>
      <c r="FD9" s="443">
        <f t="shared" si="0"/>
        <v>916.17396605195529</v>
      </c>
      <c r="FE9" s="444">
        <f t="shared" si="36"/>
        <v>1.6205891215360976E-2</v>
      </c>
      <c r="FG9" s="402">
        <f t="shared" si="65"/>
        <v>3435.7944912421899</v>
      </c>
      <c r="FH9" s="426">
        <f t="shared" si="38"/>
        <v>6.0774605944489225E-2</v>
      </c>
      <c r="FJ9" s="402">
        <v>0</v>
      </c>
      <c r="FK9" s="781">
        <f t="shared" si="39"/>
        <v>0</v>
      </c>
      <c r="FM9" s="402">
        <f t="shared" si="40"/>
        <v>0</v>
      </c>
      <c r="FN9" s="781">
        <f t="shared" si="41"/>
        <v>0</v>
      </c>
      <c r="FP9" s="560">
        <f t="shared" si="66"/>
        <v>-89389.498677899915</v>
      </c>
      <c r="FQ9" s="563">
        <f t="shared" si="42"/>
        <v>-33.028910864548749</v>
      </c>
      <c r="FS9" s="402">
        <f t="shared" si="43"/>
        <v>-41433.725637804564</v>
      </c>
      <c r="FT9" s="426">
        <f t="shared" si="44"/>
        <v>-30.274505050627099</v>
      </c>
      <c r="FV9" s="402">
        <f t="shared" si="45"/>
        <v>2706401.6444406966</v>
      </c>
      <c r="FW9" s="402">
        <f t="shared" si="46"/>
        <v>2434401.4791702745</v>
      </c>
    </row>
    <row r="10" spans="1:179" ht="15.5" x14ac:dyDescent="0.35">
      <c r="A10" s="621"/>
      <c r="B10" s="398"/>
      <c r="C10" s="730"/>
      <c r="D10" s="733"/>
      <c r="E10" s="733"/>
      <c r="F10" s="731"/>
      <c r="G10" s="695"/>
      <c r="H10" s="589">
        <f t="shared" ref="H10" si="71">IFERROR(I10/F10,0)</f>
        <v>0</v>
      </c>
      <c r="I10" s="589">
        <f t="shared" ref="I10" si="72">C10*D10*E10*G10</f>
        <v>0</v>
      </c>
      <c r="J10" s="589">
        <f t="shared" ref="J10" si="73">K10*$B$29</f>
        <v>0</v>
      </c>
      <c r="K10" s="589">
        <f t="shared" ref="K10" si="74">I10*$B$26</f>
        <v>0</v>
      </c>
      <c r="L10" s="590">
        <f t="shared" si="69"/>
        <v>0</v>
      </c>
      <c r="M10" s="590">
        <f t="shared" si="10"/>
        <v>0</v>
      </c>
      <c r="N10" s="593">
        <f t="shared" si="49"/>
        <v>0</v>
      </c>
      <c r="O10" s="597">
        <f t="shared" si="5"/>
        <v>0</v>
      </c>
      <c r="Q10" s="446"/>
      <c r="R10" s="446"/>
      <c r="S10" s="446"/>
      <c r="T10" s="446"/>
      <c r="U10" s="446"/>
      <c r="V10" s="446"/>
      <c r="W10" s="446"/>
      <c r="X10" s="446"/>
      <c r="Y10" s="446"/>
      <c r="Z10" s="446"/>
      <c r="AA10" s="446"/>
      <c r="AB10" s="446"/>
      <c r="AC10" s="446"/>
      <c r="AD10" s="446"/>
      <c r="AE10" s="446"/>
      <c r="AF10" s="446"/>
      <c r="AG10" s="446"/>
      <c r="AH10" s="446"/>
      <c r="AI10" s="446"/>
      <c r="AJ10" s="446"/>
      <c r="AK10" s="446"/>
      <c r="AM10" s="446"/>
      <c r="AN10" s="446"/>
      <c r="AO10" s="446"/>
      <c r="AP10" s="446"/>
      <c r="AQ10" s="446"/>
      <c r="AR10" s="446"/>
      <c r="AS10" s="446"/>
      <c r="AT10" s="446"/>
      <c r="AU10" s="446"/>
      <c r="AV10" s="446"/>
      <c r="AW10" s="446"/>
      <c r="AX10" s="446"/>
      <c r="AY10" s="446"/>
      <c r="AZ10" s="446"/>
      <c r="BA10" s="446"/>
      <c r="BB10" s="446"/>
      <c r="BC10" s="446"/>
      <c r="BD10" s="446"/>
      <c r="BE10" s="446"/>
      <c r="BF10" s="446"/>
      <c r="BG10" s="446"/>
      <c r="BH10" s="446"/>
      <c r="BI10" s="446"/>
      <c r="BJ10" s="446"/>
      <c r="BK10" s="446"/>
      <c r="BL10" s="446"/>
      <c r="BM10" s="446"/>
      <c r="BO10" s="446"/>
      <c r="BP10" s="446"/>
      <c r="BQ10" s="446"/>
      <c r="BR10" s="446"/>
      <c r="BS10" s="446"/>
      <c r="BT10" s="446"/>
      <c r="BU10" s="446"/>
      <c r="BV10" s="446"/>
      <c r="BW10" s="446"/>
      <c r="BX10" s="446"/>
      <c r="BY10" s="446"/>
      <c r="BZ10" s="446"/>
      <c r="CA10" s="446"/>
      <c r="CB10" s="446"/>
      <c r="CC10" s="446"/>
      <c r="CD10" s="446"/>
      <c r="CE10" s="446"/>
      <c r="CF10" s="446"/>
      <c r="CG10" s="446"/>
      <c r="CH10" s="446"/>
      <c r="CJ10" s="446"/>
      <c r="CK10" s="446"/>
      <c r="CL10" s="446"/>
      <c r="CM10" s="446"/>
      <c r="CN10" s="446"/>
      <c r="CP10" s="446"/>
      <c r="CQ10" s="446"/>
      <c r="CR10" s="446"/>
      <c r="CS10" s="446"/>
      <c r="CU10" s="446"/>
      <c r="CV10" s="446"/>
      <c r="CX10" s="441">
        <f>SUMIF(Transport!B:B,'Feed + carbon calculator'!A10,Transport!M:M)</f>
        <v>0</v>
      </c>
      <c r="CY10" s="563">
        <f t="shared" ref="CY5:CY10" si="75">IFERROR(CX10/$FV10*1000,0)</f>
        <v>0</v>
      </c>
      <c r="DA10" s="446"/>
      <c r="DB10" s="446"/>
      <c r="DC10" s="446"/>
      <c r="DD10" s="434"/>
      <c r="DE10" s="566">
        <v>0</v>
      </c>
      <c r="DF10" s="564">
        <f t="shared" si="33"/>
        <v>0</v>
      </c>
      <c r="DI10" s="438">
        <f t="shared" si="50"/>
        <v>0</v>
      </c>
      <c r="DJ10" s="439">
        <f t="shared" si="51"/>
        <v>0</v>
      </c>
      <c r="DL10" s="438">
        <f t="shared" si="52"/>
        <v>0</v>
      </c>
      <c r="DM10" s="439">
        <f t="shared" si="53"/>
        <v>0</v>
      </c>
      <c r="DO10" s="438">
        <f t="shared" si="54"/>
        <v>0</v>
      </c>
      <c r="DP10" s="439">
        <f t="shared" si="55"/>
        <v>0</v>
      </c>
      <c r="DQ10" s="439"/>
      <c r="DR10" s="438">
        <f t="shared" si="56"/>
        <v>0</v>
      </c>
      <c r="DS10" s="439">
        <f t="shared" si="57"/>
        <v>0</v>
      </c>
      <c r="DU10" s="438">
        <f t="shared" si="58"/>
        <v>0</v>
      </c>
      <c r="DV10" s="439">
        <f t="shared" si="67"/>
        <v>0</v>
      </c>
      <c r="DX10" s="702">
        <f t="shared" si="59"/>
        <v>0</v>
      </c>
      <c r="DY10" s="703">
        <f t="shared" si="68"/>
        <v>0</v>
      </c>
      <c r="EA10" s="438"/>
      <c r="EB10" s="439"/>
      <c r="ED10" s="435">
        <f t="shared" si="60"/>
        <v>0</v>
      </c>
      <c r="EE10" s="434">
        <f t="shared" si="61"/>
        <v>0</v>
      </c>
      <c r="EG10" s="435">
        <f t="shared" si="70"/>
        <v>0</v>
      </c>
      <c r="EH10" s="434">
        <f>IFERROR(EG10/$FV$10*1000,0)</f>
        <v>0</v>
      </c>
      <c r="EJ10" s="570">
        <f t="shared" si="34"/>
        <v>0</v>
      </c>
      <c r="EK10" s="562">
        <f t="shared" si="35"/>
        <v>0</v>
      </c>
      <c r="EM10" s="435">
        <f t="shared" si="63"/>
        <v>0</v>
      </c>
      <c r="EN10" s="434">
        <f t="shared" si="64"/>
        <v>0</v>
      </c>
      <c r="EP10" s="445"/>
      <c r="EW10" s="445"/>
      <c r="FD10" s="443">
        <f t="shared" ref="FD10:FD20" si="76">$FD$21*$N10</f>
        <v>0</v>
      </c>
      <c r="FE10" s="444">
        <f>IFERROR(FD10/$FV$10*1000,0)</f>
        <v>0</v>
      </c>
      <c r="FG10" s="402">
        <f t="shared" si="65"/>
        <v>0</v>
      </c>
      <c r="FH10" s="426">
        <f t="shared" si="38"/>
        <v>0</v>
      </c>
      <c r="FJ10" s="402">
        <v>0</v>
      </c>
      <c r="FK10" s="781">
        <f t="shared" si="39"/>
        <v>0</v>
      </c>
      <c r="FM10" s="402">
        <f t="shared" si="40"/>
        <v>0</v>
      </c>
      <c r="FN10" s="781">
        <f t="shared" si="41"/>
        <v>0</v>
      </c>
      <c r="FP10" s="560">
        <f t="shared" si="66"/>
        <v>0</v>
      </c>
      <c r="FQ10" s="563">
        <f t="shared" si="42"/>
        <v>0</v>
      </c>
      <c r="FS10" s="402">
        <f t="shared" si="43"/>
        <v>0</v>
      </c>
      <c r="FT10" s="426">
        <f t="shared" si="44"/>
        <v>0</v>
      </c>
      <c r="FV10" s="402">
        <f t="shared" si="45"/>
        <v>0</v>
      </c>
      <c r="FW10" s="402">
        <f t="shared" si="46"/>
        <v>0</v>
      </c>
    </row>
    <row r="11" spans="1:179" ht="15.5" x14ac:dyDescent="0.35">
      <c r="A11" s="621"/>
      <c r="B11" s="398"/>
      <c r="C11" s="589"/>
      <c r="D11" s="685"/>
      <c r="E11" s="685"/>
      <c r="F11" s="685"/>
      <c r="G11" s="589"/>
      <c r="H11" s="589">
        <f t="shared" ref="H11:H20" si="77">IFERROR(I11/F11,0)</f>
        <v>0</v>
      </c>
      <c r="I11" s="589">
        <f t="shared" ref="I11:I20" si="78">C11*D11*E11*G11</f>
        <v>0</v>
      </c>
      <c r="J11" s="589">
        <f t="shared" ref="J11:J20" si="79">K11*$B$29</f>
        <v>0</v>
      </c>
      <c r="K11" s="589">
        <f t="shared" ref="K11:K20" si="80">I11*$B$26</f>
        <v>0</v>
      </c>
      <c r="L11" s="590">
        <f t="shared" si="69"/>
        <v>0</v>
      </c>
      <c r="M11" s="590">
        <f t="shared" si="10"/>
        <v>0</v>
      </c>
      <c r="N11" s="593">
        <f t="shared" ref="N11:N20" si="81">IFERROR(M11/$M$21,"-")</f>
        <v>0</v>
      </c>
      <c r="O11" s="597">
        <f t="shared" si="5"/>
        <v>0</v>
      </c>
      <c r="Q11" s="446"/>
      <c r="R11" s="446"/>
      <c r="S11" s="446"/>
      <c r="T11" s="446"/>
      <c r="U11" s="446"/>
      <c r="V11" s="446"/>
      <c r="W11" s="446"/>
      <c r="X11" s="446"/>
      <c r="Y11" s="446"/>
      <c r="Z11" s="446"/>
      <c r="AA11" s="446"/>
      <c r="AB11" s="446"/>
      <c r="AC11" s="446"/>
      <c r="AD11" s="446"/>
      <c r="AE11" s="446"/>
      <c r="AF11" s="446"/>
      <c r="AG11" s="446"/>
      <c r="AH11" s="446"/>
      <c r="AI11" s="446"/>
      <c r="AJ11" s="446"/>
      <c r="AK11" s="446"/>
      <c r="AM11" s="446"/>
      <c r="AN11" s="446"/>
      <c r="AO11" s="446"/>
      <c r="AP11" s="446"/>
      <c r="AQ11" s="446"/>
      <c r="AR11" s="446"/>
      <c r="AS11" s="446"/>
      <c r="AT11" s="446"/>
      <c r="AU11" s="446"/>
      <c r="AV11" s="446"/>
      <c r="AW11" s="446"/>
      <c r="AX11" s="446"/>
      <c r="AY11" s="446"/>
      <c r="AZ11" s="446"/>
      <c r="BA11" s="446"/>
      <c r="BB11" s="446"/>
      <c r="BC11" s="446"/>
      <c r="BD11" s="446"/>
      <c r="BE11" s="446"/>
      <c r="BF11" s="446"/>
      <c r="BG11" s="446"/>
      <c r="BH11" s="446"/>
      <c r="BI11" s="446"/>
      <c r="BJ11" s="446"/>
      <c r="BK11" s="446"/>
      <c r="BL11" s="446"/>
      <c r="BM11" s="446"/>
      <c r="BO11" s="446"/>
      <c r="BP11" s="446"/>
      <c r="BQ11" s="446"/>
      <c r="BR11" s="446"/>
      <c r="BS11" s="446"/>
      <c r="BT11" s="446"/>
      <c r="BU11" s="446"/>
      <c r="BV11" s="446"/>
      <c r="BW11" s="446"/>
      <c r="BX11" s="446"/>
      <c r="BY11" s="446"/>
      <c r="BZ11" s="446"/>
      <c r="CA11" s="446"/>
      <c r="CB11" s="446"/>
      <c r="CC11" s="446"/>
      <c r="CD11" s="446"/>
      <c r="CE11" s="446"/>
      <c r="CF11" s="446"/>
      <c r="CG11" s="446"/>
      <c r="CH11" s="446"/>
      <c r="CJ11" s="446"/>
      <c r="CK11" s="446"/>
      <c r="CL11" s="446"/>
      <c r="CM11" s="446"/>
      <c r="CN11" s="446"/>
      <c r="CP11" s="446"/>
      <c r="CQ11" s="446"/>
      <c r="CR11" s="446"/>
      <c r="CS11" s="446"/>
      <c r="CU11" s="446"/>
      <c r="CV11" s="446"/>
      <c r="CX11" s="441">
        <f>SUMIF(Transport!B:B,'Feed + carbon calculator'!A11,Transport!M:M)</f>
        <v>0</v>
      </c>
      <c r="CY11" s="563">
        <f t="shared" ref="CY11:CY14" si="82">IFERROR(CX11/$FV11*1000,0)</f>
        <v>0</v>
      </c>
      <c r="DA11" s="446"/>
      <c r="DB11" s="446"/>
      <c r="DC11" s="446"/>
      <c r="DD11" s="434"/>
      <c r="DE11" s="566">
        <v>0</v>
      </c>
      <c r="DF11" s="564">
        <f t="shared" si="33"/>
        <v>0</v>
      </c>
      <c r="DI11" s="438">
        <f t="shared" ref="DI11:DI14" si="83">DI27*$N11</f>
        <v>0</v>
      </c>
      <c r="DJ11" s="439">
        <f>IFERROR(DI11/$FV$11*1000,0)</f>
        <v>0</v>
      </c>
      <c r="DL11" s="438">
        <f t="shared" si="52"/>
        <v>0</v>
      </c>
      <c r="DM11" s="439">
        <f t="shared" si="53"/>
        <v>0</v>
      </c>
      <c r="DO11" s="438">
        <f t="shared" si="54"/>
        <v>0</v>
      </c>
      <c r="DP11" s="439">
        <f t="shared" si="55"/>
        <v>0</v>
      </c>
      <c r="DQ11" s="439"/>
      <c r="DR11" s="438">
        <f t="shared" si="56"/>
        <v>0</v>
      </c>
      <c r="DS11" s="439">
        <f t="shared" si="57"/>
        <v>0</v>
      </c>
      <c r="DU11" s="438">
        <f t="shared" si="58"/>
        <v>0</v>
      </c>
      <c r="DV11" s="439">
        <f t="shared" si="67"/>
        <v>0</v>
      </c>
      <c r="DX11" s="702">
        <f t="shared" si="59"/>
        <v>0</v>
      </c>
      <c r="DY11" s="703">
        <f t="shared" si="68"/>
        <v>0</v>
      </c>
      <c r="EA11" s="438"/>
      <c r="EB11" s="439"/>
      <c r="ED11" s="435">
        <f t="shared" si="60"/>
        <v>0</v>
      </c>
      <c r="EE11" s="434">
        <f t="shared" si="61"/>
        <v>0</v>
      </c>
      <c r="EG11" s="435">
        <f t="shared" si="70"/>
        <v>0</v>
      </c>
      <c r="EH11" s="434">
        <f>IFERROR(EG11/$FV$11*1000,0)</f>
        <v>0</v>
      </c>
      <c r="EJ11" s="570">
        <f t="shared" si="34"/>
        <v>0</v>
      </c>
      <c r="EK11" s="562">
        <f t="shared" si="35"/>
        <v>0</v>
      </c>
      <c r="EM11" s="435">
        <f t="shared" ref="EM11:EM20" si="84">$EM$21*N11</f>
        <v>0</v>
      </c>
      <c r="EN11" s="434">
        <f>IFERROR(EM11/$FV$11*1000,0)</f>
        <v>0</v>
      </c>
      <c r="EP11" s="445"/>
      <c r="EW11" s="445"/>
      <c r="FD11" s="443">
        <f t="shared" si="76"/>
        <v>0</v>
      </c>
      <c r="FE11" s="444">
        <f>IFERROR(FD11/$FV$11*1000,0)</f>
        <v>0</v>
      </c>
      <c r="FG11" s="402">
        <f t="shared" si="65"/>
        <v>0</v>
      </c>
      <c r="FH11" s="426">
        <f t="shared" si="38"/>
        <v>0</v>
      </c>
      <c r="FJ11" s="402">
        <v>0</v>
      </c>
      <c r="FK11" s="781">
        <f t="shared" si="39"/>
        <v>0</v>
      </c>
      <c r="FM11" s="402">
        <f t="shared" si="40"/>
        <v>0</v>
      </c>
      <c r="FN11" s="781">
        <f t="shared" si="41"/>
        <v>0</v>
      </c>
      <c r="FP11" s="560">
        <f t="shared" ref="FP11:FP20" si="85">IFERROR(-$I$28*N11*$FQ$23,0)</f>
        <v>0</v>
      </c>
      <c r="FQ11" s="563">
        <f t="shared" si="42"/>
        <v>0</v>
      </c>
      <c r="FS11" s="402">
        <f t="shared" si="43"/>
        <v>0</v>
      </c>
      <c r="FT11" s="426">
        <f t="shared" si="44"/>
        <v>0</v>
      </c>
      <c r="FV11" s="402">
        <f t="shared" si="45"/>
        <v>0</v>
      </c>
      <c r="FW11" s="402">
        <f t="shared" si="46"/>
        <v>0</v>
      </c>
    </row>
    <row r="12" spans="1:179" ht="15.5" x14ac:dyDescent="0.35">
      <c r="A12" s="621"/>
      <c r="B12" s="398"/>
      <c r="C12" s="589"/>
      <c r="D12" s="685"/>
      <c r="E12" s="685"/>
      <c r="F12" s="685"/>
      <c r="G12" s="592"/>
      <c r="H12" s="589">
        <f t="shared" si="77"/>
        <v>0</v>
      </c>
      <c r="I12" s="589">
        <f t="shared" si="78"/>
        <v>0</v>
      </c>
      <c r="J12" s="589">
        <f t="shared" si="79"/>
        <v>0</v>
      </c>
      <c r="K12" s="589">
        <f t="shared" si="80"/>
        <v>0</v>
      </c>
      <c r="L12" s="590">
        <f t="shared" si="69"/>
        <v>0</v>
      </c>
      <c r="M12" s="590">
        <f t="shared" si="10"/>
        <v>0</v>
      </c>
      <c r="N12" s="593">
        <f t="shared" si="81"/>
        <v>0</v>
      </c>
      <c r="O12" s="597">
        <f t="shared" si="5"/>
        <v>0</v>
      </c>
      <c r="Q12" s="446"/>
      <c r="R12" s="446"/>
      <c r="S12" s="446"/>
      <c r="T12" s="446"/>
      <c r="U12" s="446"/>
      <c r="V12" s="446"/>
      <c r="W12" s="446"/>
      <c r="X12" s="446"/>
      <c r="Y12" s="446"/>
      <c r="Z12" s="446"/>
      <c r="AA12" s="446"/>
      <c r="AB12" s="446"/>
      <c r="AC12" s="446"/>
      <c r="AD12" s="446"/>
      <c r="AE12" s="446"/>
      <c r="AF12" s="446"/>
      <c r="AG12" s="446"/>
      <c r="AH12" s="446"/>
      <c r="AI12" s="446"/>
      <c r="AJ12" s="446"/>
      <c r="AK12" s="446"/>
      <c r="AM12" s="446"/>
      <c r="AN12" s="446"/>
      <c r="AO12" s="446"/>
      <c r="AP12" s="446"/>
      <c r="AQ12" s="446"/>
      <c r="AR12" s="446"/>
      <c r="AS12" s="446"/>
      <c r="AT12" s="446"/>
      <c r="AU12" s="446"/>
      <c r="AV12" s="446"/>
      <c r="AW12" s="446"/>
      <c r="AX12" s="446"/>
      <c r="AY12" s="446"/>
      <c r="AZ12" s="446"/>
      <c r="BA12" s="446"/>
      <c r="BB12" s="446"/>
      <c r="BC12" s="446"/>
      <c r="BD12" s="446"/>
      <c r="BE12" s="446"/>
      <c r="BF12" s="446"/>
      <c r="BG12" s="446"/>
      <c r="BH12" s="446"/>
      <c r="BI12" s="446"/>
      <c r="BJ12" s="446"/>
      <c r="BK12" s="446"/>
      <c r="BL12" s="446"/>
      <c r="BM12" s="446"/>
      <c r="BO12" s="446"/>
      <c r="BP12" s="446"/>
      <c r="BQ12" s="446"/>
      <c r="BR12" s="446"/>
      <c r="BS12" s="446"/>
      <c r="BT12" s="446"/>
      <c r="BU12" s="446"/>
      <c r="BV12" s="446"/>
      <c r="BW12" s="446"/>
      <c r="BX12" s="446"/>
      <c r="BY12" s="446"/>
      <c r="BZ12" s="446"/>
      <c r="CA12" s="446"/>
      <c r="CB12" s="446"/>
      <c r="CC12" s="446"/>
      <c r="CD12" s="446"/>
      <c r="CE12" s="446"/>
      <c r="CF12" s="446"/>
      <c r="CG12" s="446"/>
      <c r="CH12" s="446"/>
      <c r="CJ12" s="446"/>
      <c r="CK12" s="446"/>
      <c r="CL12" s="446"/>
      <c r="CM12" s="446"/>
      <c r="CN12" s="446"/>
      <c r="CP12" s="446"/>
      <c r="CQ12" s="446"/>
      <c r="CR12" s="446"/>
      <c r="CS12" s="446"/>
      <c r="CU12" s="446"/>
      <c r="CV12" s="446"/>
      <c r="CX12" s="441">
        <f>SUMIF(Transport!B:B,'Feed + carbon calculator'!A12,Transport!M:M)</f>
        <v>0</v>
      </c>
      <c r="CY12" s="563">
        <f t="shared" si="82"/>
        <v>0</v>
      </c>
      <c r="DA12" s="446"/>
      <c r="DB12" s="446"/>
      <c r="DC12" s="446"/>
      <c r="DD12" s="434"/>
      <c r="DE12" s="566">
        <v>0</v>
      </c>
      <c r="DF12" s="564">
        <f t="shared" si="33"/>
        <v>0</v>
      </c>
      <c r="DI12" s="438">
        <f t="shared" si="83"/>
        <v>0</v>
      </c>
      <c r="DJ12" s="439">
        <f>IFERROR(DI12/$FV$12*1000,0)</f>
        <v>0</v>
      </c>
      <c r="DL12" s="438">
        <f t="shared" ref="DL12:DL20" si="86">$DL$21*$N12</f>
        <v>0</v>
      </c>
      <c r="DM12" s="439">
        <f>IFERROR(DL12/$FV$12*1000,0)</f>
        <v>0</v>
      </c>
      <c r="DO12" s="438">
        <f t="shared" si="54"/>
        <v>0</v>
      </c>
      <c r="DP12" s="439">
        <f t="shared" si="55"/>
        <v>0</v>
      </c>
      <c r="DQ12" s="439"/>
      <c r="DR12" s="438">
        <f t="shared" si="56"/>
        <v>0</v>
      </c>
      <c r="DS12" s="439">
        <f t="shared" si="57"/>
        <v>0</v>
      </c>
      <c r="DU12" s="438">
        <f t="shared" si="58"/>
        <v>0</v>
      </c>
      <c r="DV12" s="439">
        <f t="shared" si="67"/>
        <v>0</v>
      </c>
      <c r="DX12" s="702">
        <f t="shared" si="59"/>
        <v>0</v>
      </c>
      <c r="DY12" s="703">
        <f t="shared" si="68"/>
        <v>0</v>
      </c>
      <c r="EA12" s="438"/>
      <c r="EB12" s="439"/>
      <c r="ED12" s="435">
        <f t="shared" si="60"/>
        <v>0</v>
      </c>
      <c r="EE12" s="434">
        <f t="shared" si="61"/>
        <v>0</v>
      </c>
      <c r="EG12" s="435">
        <f t="shared" si="70"/>
        <v>0</v>
      </c>
      <c r="EH12" s="434">
        <f>IFERROR(EG12/$FV$12*1000,0)</f>
        <v>0</v>
      </c>
      <c r="EJ12" s="570">
        <f t="shared" si="34"/>
        <v>0</v>
      </c>
      <c r="EK12" s="562">
        <f t="shared" si="35"/>
        <v>0</v>
      </c>
      <c r="EM12" s="435">
        <f t="shared" si="84"/>
        <v>0</v>
      </c>
      <c r="EN12" s="434">
        <f>IFERROR(EM12/$FV$12*1000,0)</f>
        <v>0</v>
      </c>
      <c r="EP12" s="445"/>
      <c r="EW12" s="445"/>
      <c r="FD12" s="443">
        <f t="shared" si="76"/>
        <v>0</v>
      </c>
      <c r="FE12" s="444">
        <f>IFERROR(FD12/$FV$12*1000,0)</f>
        <v>0</v>
      </c>
      <c r="FG12" s="402">
        <f t="shared" si="37"/>
        <v>0</v>
      </c>
      <c r="FH12" s="426">
        <f t="shared" si="38"/>
        <v>0</v>
      </c>
      <c r="FJ12" s="402">
        <v>0</v>
      </c>
      <c r="FK12" s="781">
        <f t="shared" si="39"/>
        <v>0</v>
      </c>
      <c r="FM12" s="402">
        <f t="shared" si="40"/>
        <v>0</v>
      </c>
      <c r="FN12" s="781">
        <f t="shared" si="41"/>
        <v>0</v>
      </c>
      <c r="FP12" s="560">
        <f t="shared" si="85"/>
        <v>0</v>
      </c>
      <c r="FQ12" s="563">
        <f t="shared" si="42"/>
        <v>0</v>
      </c>
      <c r="FS12" s="402">
        <f t="shared" si="43"/>
        <v>0</v>
      </c>
      <c r="FT12" s="426">
        <f t="shared" si="44"/>
        <v>0</v>
      </c>
      <c r="FV12" s="402">
        <f t="shared" si="45"/>
        <v>0</v>
      </c>
      <c r="FW12" s="402">
        <f t="shared" si="46"/>
        <v>0</v>
      </c>
    </row>
    <row r="13" spans="1:179" ht="15.5" x14ac:dyDescent="0.35">
      <c r="A13" s="621"/>
      <c r="B13" s="398"/>
      <c r="C13" s="589"/>
      <c r="D13" s="685"/>
      <c r="E13" s="685"/>
      <c r="F13" s="685"/>
      <c r="G13" s="589"/>
      <c r="H13" s="589">
        <f t="shared" si="77"/>
        <v>0</v>
      </c>
      <c r="I13" s="589">
        <f t="shared" si="78"/>
        <v>0</v>
      </c>
      <c r="J13" s="589">
        <f t="shared" si="79"/>
        <v>0</v>
      </c>
      <c r="K13" s="589">
        <f t="shared" si="80"/>
        <v>0</v>
      </c>
      <c r="L13" s="590">
        <f t="shared" si="69"/>
        <v>0</v>
      </c>
      <c r="M13" s="590">
        <f t="shared" si="10"/>
        <v>0</v>
      </c>
      <c r="N13" s="593">
        <f t="shared" si="81"/>
        <v>0</v>
      </c>
      <c r="O13" s="597">
        <f t="shared" si="5"/>
        <v>0</v>
      </c>
      <c r="Q13" s="446"/>
      <c r="R13" s="446"/>
      <c r="S13" s="446"/>
      <c r="T13" s="446"/>
      <c r="U13" s="446"/>
      <c r="V13" s="446"/>
      <c r="W13" s="446"/>
      <c r="X13" s="446"/>
      <c r="Y13" s="446"/>
      <c r="Z13" s="446"/>
      <c r="AA13" s="446"/>
      <c r="AB13" s="446"/>
      <c r="AC13" s="446"/>
      <c r="AD13" s="446"/>
      <c r="AE13" s="446"/>
      <c r="AF13" s="446"/>
      <c r="AG13" s="446"/>
      <c r="AH13" s="446"/>
      <c r="AI13" s="446"/>
      <c r="AJ13" s="446"/>
      <c r="AK13" s="446"/>
      <c r="AM13" s="446"/>
      <c r="AN13" s="446"/>
      <c r="AO13" s="446"/>
      <c r="AP13" s="446"/>
      <c r="AQ13" s="446"/>
      <c r="AR13" s="446"/>
      <c r="AS13" s="446"/>
      <c r="AT13" s="446"/>
      <c r="AU13" s="446"/>
      <c r="AV13" s="446"/>
      <c r="AW13" s="446"/>
      <c r="AX13" s="446"/>
      <c r="AY13" s="446"/>
      <c r="AZ13" s="446"/>
      <c r="BA13" s="446"/>
      <c r="BB13" s="446"/>
      <c r="BC13" s="446"/>
      <c r="BD13" s="446"/>
      <c r="BE13" s="446"/>
      <c r="BF13" s="446"/>
      <c r="BG13" s="446"/>
      <c r="BH13" s="446"/>
      <c r="BI13" s="446"/>
      <c r="BJ13" s="446"/>
      <c r="BK13" s="446"/>
      <c r="BL13" s="446"/>
      <c r="BM13" s="446"/>
      <c r="BO13" s="446"/>
      <c r="BP13" s="446"/>
      <c r="BQ13" s="446"/>
      <c r="BR13" s="446"/>
      <c r="BS13" s="446"/>
      <c r="BT13" s="446"/>
      <c r="BU13" s="446"/>
      <c r="BV13" s="446"/>
      <c r="BW13" s="446"/>
      <c r="BX13" s="446"/>
      <c r="BY13" s="446"/>
      <c r="BZ13" s="446"/>
      <c r="CA13" s="446"/>
      <c r="CB13" s="446"/>
      <c r="CC13" s="446"/>
      <c r="CD13" s="446"/>
      <c r="CE13" s="446"/>
      <c r="CF13" s="446"/>
      <c r="CG13" s="446"/>
      <c r="CH13" s="446"/>
      <c r="CJ13" s="446"/>
      <c r="CK13" s="446"/>
      <c r="CL13" s="446"/>
      <c r="CM13" s="446"/>
      <c r="CN13" s="446"/>
      <c r="CP13" s="446"/>
      <c r="CQ13" s="446"/>
      <c r="CR13" s="446"/>
      <c r="CS13" s="446"/>
      <c r="CU13" s="446"/>
      <c r="CV13" s="446"/>
      <c r="CX13" s="441">
        <f>SUMIF(Transport!B:B,'Feed + carbon calculator'!A13,Transport!M:M)</f>
        <v>0</v>
      </c>
      <c r="CY13" s="563">
        <f t="shared" si="82"/>
        <v>0</v>
      </c>
      <c r="DA13" s="446"/>
      <c r="DB13" s="446"/>
      <c r="DC13" s="446"/>
      <c r="DD13" s="434"/>
      <c r="DE13" s="566">
        <v>0</v>
      </c>
      <c r="DF13" s="564">
        <f t="shared" si="33"/>
        <v>0</v>
      </c>
      <c r="DI13" s="438">
        <f t="shared" si="83"/>
        <v>0</v>
      </c>
      <c r="DJ13" s="439">
        <f>IFERROR(DI13/$FV$13*1000,0)</f>
        <v>0</v>
      </c>
      <c r="DL13" s="438">
        <f t="shared" si="86"/>
        <v>0</v>
      </c>
      <c r="DM13" s="439">
        <f>IFERROR(DL13/$FV$13*1000,0)</f>
        <v>0</v>
      </c>
      <c r="DO13" s="438">
        <f t="shared" si="54"/>
        <v>0</v>
      </c>
      <c r="DP13" s="439">
        <f t="shared" si="55"/>
        <v>0</v>
      </c>
      <c r="DQ13" s="439"/>
      <c r="DR13" s="438">
        <f t="shared" si="56"/>
        <v>0</v>
      </c>
      <c r="DS13" s="439">
        <f t="shared" si="57"/>
        <v>0</v>
      </c>
      <c r="DU13" s="438">
        <f t="shared" si="58"/>
        <v>0</v>
      </c>
      <c r="DV13" s="439">
        <f t="shared" si="67"/>
        <v>0</v>
      </c>
      <c r="DX13" s="702">
        <f t="shared" si="59"/>
        <v>0</v>
      </c>
      <c r="DY13" s="703">
        <f t="shared" si="68"/>
        <v>0</v>
      </c>
      <c r="EA13" s="438"/>
      <c r="EB13" s="439"/>
      <c r="ED13" s="435">
        <f t="shared" ref="ED13:ED20" si="87">$ED$21*$N13</f>
        <v>0</v>
      </c>
      <c r="EE13" s="434">
        <f>IFERROR(ED13/$FV$13*1000,0)</f>
        <v>0</v>
      </c>
      <c r="EG13" s="435">
        <f t="shared" si="70"/>
        <v>0</v>
      </c>
      <c r="EH13" s="434">
        <f>IFERROR(EG13/$FV$13*1000,0)</f>
        <v>0</v>
      </c>
      <c r="EJ13" s="570">
        <f t="shared" si="34"/>
        <v>0</v>
      </c>
      <c r="EK13" s="562">
        <f t="shared" si="35"/>
        <v>0</v>
      </c>
      <c r="EM13" s="435">
        <f t="shared" si="84"/>
        <v>0</v>
      </c>
      <c r="EN13" s="434">
        <f>IFERROR(EM13/$FV$13*1000,0)</f>
        <v>0</v>
      </c>
      <c r="EP13" s="445"/>
      <c r="EW13" s="445"/>
      <c r="FD13" s="443">
        <f t="shared" si="76"/>
        <v>0</v>
      </c>
      <c r="FE13" s="444">
        <f>IFERROR(FD13/$FV$13*1000,0)</f>
        <v>0</v>
      </c>
      <c r="FG13" s="402">
        <f t="shared" si="37"/>
        <v>0</v>
      </c>
      <c r="FH13" s="426">
        <f t="shared" si="38"/>
        <v>0</v>
      </c>
      <c r="FJ13" s="402">
        <v>0</v>
      </c>
      <c r="FK13" s="781">
        <f t="shared" si="39"/>
        <v>0</v>
      </c>
      <c r="FM13" s="402">
        <f t="shared" si="40"/>
        <v>0</v>
      </c>
      <c r="FN13" s="781">
        <f t="shared" si="41"/>
        <v>0</v>
      </c>
      <c r="FP13" s="560">
        <f t="shared" si="85"/>
        <v>0</v>
      </c>
      <c r="FQ13" s="563">
        <f t="shared" si="42"/>
        <v>0</v>
      </c>
      <c r="FS13" s="402">
        <f t="shared" si="43"/>
        <v>0</v>
      </c>
      <c r="FT13" s="426">
        <f t="shared" si="44"/>
        <v>0</v>
      </c>
      <c r="FV13" s="402">
        <f t="shared" si="45"/>
        <v>0</v>
      </c>
      <c r="FW13" s="402">
        <f t="shared" si="46"/>
        <v>0</v>
      </c>
    </row>
    <row r="14" spans="1:179" s="447" customFormat="1" ht="15.5" x14ac:dyDescent="0.35">
      <c r="A14" s="621"/>
      <c r="B14" s="398"/>
      <c r="C14" s="589"/>
      <c r="D14" s="685"/>
      <c r="E14" s="685"/>
      <c r="F14" s="685"/>
      <c r="G14" s="589"/>
      <c r="H14" s="589">
        <f t="shared" si="77"/>
        <v>0</v>
      </c>
      <c r="I14" s="589">
        <f t="shared" si="78"/>
        <v>0</v>
      </c>
      <c r="J14" s="589">
        <f t="shared" si="79"/>
        <v>0</v>
      </c>
      <c r="K14" s="589">
        <f t="shared" si="80"/>
        <v>0</v>
      </c>
      <c r="L14" s="590">
        <f t="shared" si="69"/>
        <v>0</v>
      </c>
      <c r="M14" s="590">
        <f t="shared" si="10"/>
        <v>0</v>
      </c>
      <c r="N14" s="593">
        <f t="shared" si="81"/>
        <v>0</v>
      </c>
      <c r="O14" s="597">
        <f t="shared" si="5"/>
        <v>0</v>
      </c>
      <c r="Q14" s="448"/>
      <c r="R14" s="448"/>
      <c r="S14" s="448"/>
      <c r="T14" s="448"/>
      <c r="U14" s="448"/>
      <c r="V14" s="448"/>
      <c r="W14" s="448"/>
      <c r="X14" s="448"/>
      <c r="Y14" s="448"/>
      <c r="Z14" s="448"/>
      <c r="AA14" s="448"/>
      <c r="AB14" s="448"/>
      <c r="AC14" s="448"/>
      <c r="AD14" s="448"/>
      <c r="AE14" s="448"/>
      <c r="AF14" s="448"/>
      <c r="AG14" s="448"/>
      <c r="AH14" s="448"/>
      <c r="AI14" s="448"/>
      <c r="AJ14" s="448"/>
      <c r="AK14" s="448"/>
      <c r="AM14" s="448"/>
      <c r="AN14" s="448"/>
      <c r="AO14" s="448"/>
      <c r="AP14" s="448"/>
      <c r="AQ14" s="448"/>
      <c r="AR14" s="448"/>
      <c r="AS14" s="448"/>
      <c r="AT14" s="448"/>
      <c r="AU14" s="448"/>
      <c r="AV14" s="448"/>
      <c r="AW14" s="448"/>
      <c r="AX14" s="448"/>
      <c r="AY14" s="448"/>
      <c r="AZ14" s="448"/>
      <c r="BA14" s="448"/>
      <c r="BB14" s="448"/>
      <c r="BC14" s="448"/>
      <c r="BD14" s="448"/>
      <c r="BE14" s="448"/>
      <c r="BF14" s="448"/>
      <c r="BG14" s="448"/>
      <c r="BH14" s="448"/>
      <c r="BI14" s="448"/>
      <c r="BJ14" s="448"/>
      <c r="BK14" s="448"/>
      <c r="BL14" s="448"/>
      <c r="BM14" s="448"/>
      <c r="BO14" s="448"/>
      <c r="BP14" s="448"/>
      <c r="BQ14" s="448"/>
      <c r="BR14" s="448"/>
      <c r="BS14" s="448"/>
      <c r="BT14" s="448"/>
      <c r="BU14" s="448"/>
      <c r="BV14" s="448"/>
      <c r="BW14" s="448"/>
      <c r="BX14" s="448"/>
      <c r="BY14" s="448"/>
      <c r="BZ14" s="448"/>
      <c r="CA14" s="448"/>
      <c r="CB14" s="448"/>
      <c r="CC14" s="448"/>
      <c r="CD14" s="448"/>
      <c r="CE14" s="448"/>
      <c r="CF14" s="448"/>
      <c r="CG14" s="448"/>
      <c r="CH14" s="448"/>
      <c r="CJ14" s="448"/>
      <c r="CK14" s="448"/>
      <c r="CL14" s="448"/>
      <c r="CM14" s="448"/>
      <c r="CN14" s="448"/>
      <c r="CP14" s="448"/>
      <c r="CQ14" s="448"/>
      <c r="CR14" s="448"/>
      <c r="CS14" s="448"/>
      <c r="CU14" s="448"/>
      <c r="CV14" s="448"/>
      <c r="CX14" s="441">
        <f>SUMIF(Transport!B:B,'Feed + carbon calculator'!A14,Transport!M:M)</f>
        <v>0</v>
      </c>
      <c r="CY14" s="563">
        <f t="shared" si="82"/>
        <v>0</v>
      </c>
      <c r="DA14" s="448"/>
      <c r="DB14" s="448"/>
      <c r="DC14" s="448"/>
      <c r="DD14" s="434"/>
      <c r="DE14" s="566">
        <v>0</v>
      </c>
      <c r="DF14" s="564">
        <f t="shared" si="33"/>
        <v>0</v>
      </c>
      <c r="DI14" s="438">
        <f t="shared" si="83"/>
        <v>0</v>
      </c>
      <c r="DJ14" s="439">
        <f>IFERROR(DI14/$FV$14*1000,0)</f>
        <v>0</v>
      </c>
      <c r="DL14" s="438">
        <f t="shared" si="86"/>
        <v>0</v>
      </c>
      <c r="DM14" s="439">
        <f>IFERROR(DL14/$FV$14*1000,0)</f>
        <v>0</v>
      </c>
      <c r="DO14" s="438">
        <f t="shared" si="54"/>
        <v>0</v>
      </c>
      <c r="DP14" s="439">
        <f t="shared" si="55"/>
        <v>0</v>
      </c>
      <c r="DQ14" s="439"/>
      <c r="DR14" s="438">
        <f t="shared" si="56"/>
        <v>0</v>
      </c>
      <c r="DS14" s="439">
        <f t="shared" si="57"/>
        <v>0</v>
      </c>
      <c r="DU14" s="438">
        <f t="shared" si="58"/>
        <v>0</v>
      </c>
      <c r="DV14" s="439">
        <f t="shared" si="67"/>
        <v>0</v>
      </c>
      <c r="DW14" s="372"/>
      <c r="DX14" s="702">
        <f t="shared" si="59"/>
        <v>0</v>
      </c>
      <c r="DY14" s="703">
        <f t="shared" si="68"/>
        <v>0</v>
      </c>
      <c r="EA14" s="438"/>
      <c r="EB14" s="439"/>
      <c r="ED14" s="435">
        <f t="shared" si="87"/>
        <v>0</v>
      </c>
      <c r="EE14" s="434">
        <f>IFERROR(ED14/$FV$14*1000,0)</f>
        <v>0</v>
      </c>
      <c r="EG14" s="435">
        <f t="shared" si="70"/>
        <v>0</v>
      </c>
      <c r="EH14" s="434">
        <f>IFERROR(EG14/$FV$14*1000,0)</f>
        <v>0</v>
      </c>
      <c r="EJ14" s="570">
        <f t="shared" si="34"/>
        <v>0</v>
      </c>
      <c r="EK14" s="562">
        <f t="shared" si="35"/>
        <v>0</v>
      </c>
      <c r="EM14" s="435">
        <f t="shared" si="84"/>
        <v>0</v>
      </c>
      <c r="EN14" s="434">
        <f>IFERROR(EM14/$FV$14*1000,0)</f>
        <v>0</v>
      </c>
      <c r="EP14" s="449"/>
      <c r="EW14" s="449"/>
      <c r="FD14" s="443">
        <f t="shared" si="76"/>
        <v>0</v>
      </c>
      <c r="FE14" s="444">
        <f>IFERROR(FD14/$FV$14*1000,0)</f>
        <v>0</v>
      </c>
      <c r="FG14" s="402">
        <f t="shared" si="37"/>
        <v>0</v>
      </c>
      <c r="FH14" s="426">
        <f t="shared" si="38"/>
        <v>0</v>
      </c>
      <c r="FJ14" s="402">
        <v>0</v>
      </c>
      <c r="FK14" s="781">
        <f t="shared" si="39"/>
        <v>0</v>
      </c>
      <c r="FM14" s="402">
        <f t="shared" si="40"/>
        <v>0</v>
      </c>
      <c r="FN14" s="781">
        <f t="shared" si="41"/>
        <v>0</v>
      </c>
      <c r="FP14" s="560">
        <f t="shared" si="85"/>
        <v>0</v>
      </c>
      <c r="FQ14" s="563">
        <f t="shared" si="42"/>
        <v>0</v>
      </c>
      <c r="FS14" s="402">
        <f t="shared" si="43"/>
        <v>0</v>
      </c>
      <c r="FT14" s="426">
        <f t="shared" si="44"/>
        <v>0</v>
      </c>
      <c r="FV14" s="402">
        <f t="shared" si="45"/>
        <v>0</v>
      </c>
      <c r="FW14" s="402">
        <f t="shared" si="46"/>
        <v>0</v>
      </c>
    </row>
    <row r="15" spans="1:179" s="447" customFormat="1" ht="15.5" x14ac:dyDescent="0.35">
      <c r="A15" s="621"/>
      <c r="B15" s="398"/>
      <c r="C15" s="589"/>
      <c r="D15" s="685"/>
      <c r="E15" s="685"/>
      <c r="F15" s="685"/>
      <c r="G15" s="589"/>
      <c r="H15" s="589">
        <f t="shared" si="77"/>
        <v>0</v>
      </c>
      <c r="I15" s="589">
        <f t="shared" si="78"/>
        <v>0</v>
      </c>
      <c r="J15" s="589">
        <f t="shared" si="79"/>
        <v>0</v>
      </c>
      <c r="K15" s="589">
        <f t="shared" si="80"/>
        <v>0</v>
      </c>
      <c r="L15" s="590">
        <f t="shared" si="69"/>
        <v>0</v>
      </c>
      <c r="M15" s="590">
        <f t="shared" si="10"/>
        <v>0</v>
      </c>
      <c r="N15" s="593">
        <f t="shared" si="81"/>
        <v>0</v>
      </c>
      <c r="O15" s="597">
        <f t="shared" si="5"/>
        <v>0</v>
      </c>
      <c r="Q15" s="448"/>
      <c r="R15" s="448"/>
      <c r="S15" s="448"/>
      <c r="T15" s="448"/>
      <c r="U15" s="448"/>
      <c r="V15" s="448"/>
      <c r="W15" s="448"/>
      <c r="X15" s="448"/>
      <c r="Y15" s="448"/>
      <c r="Z15" s="448"/>
      <c r="AA15" s="448"/>
      <c r="AB15" s="448"/>
      <c r="AC15" s="448"/>
      <c r="AD15" s="448"/>
      <c r="AE15" s="448"/>
      <c r="AF15" s="448"/>
      <c r="AG15" s="448"/>
      <c r="AH15" s="448"/>
      <c r="AI15" s="448"/>
      <c r="AJ15" s="448"/>
      <c r="AK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O15" s="448"/>
      <c r="BP15" s="448"/>
      <c r="BQ15" s="448"/>
      <c r="BR15" s="448"/>
      <c r="BS15" s="448"/>
      <c r="BT15" s="448"/>
      <c r="BU15" s="448"/>
      <c r="BV15" s="448"/>
      <c r="BW15" s="448"/>
      <c r="BX15" s="448"/>
      <c r="BY15" s="448"/>
      <c r="BZ15" s="448"/>
      <c r="CA15" s="448"/>
      <c r="CB15" s="448"/>
      <c r="CC15" s="448"/>
      <c r="CD15" s="448"/>
      <c r="CE15" s="448"/>
      <c r="CF15" s="448"/>
      <c r="CG15" s="448"/>
      <c r="CH15" s="448"/>
      <c r="CJ15" s="448"/>
      <c r="CK15" s="448"/>
      <c r="CL15" s="448"/>
      <c r="CM15" s="448"/>
      <c r="CN15" s="448"/>
      <c r="CP15" s="448"/>
      <c r="CQ15" s="448"/>
      <c r="CR15" s="448"/>
      <c r="CS15" s="448"/>
      <c r="CU15" s="448"/>
      <c r="CV15" s="448"/>
      <c r="CX15" s="441">
        <f>SUMIF(Transport!B:B,'Feed + carbon calculator'!A15,Transport!M:M)</f>
        <v>0</v>
      </c>
      <c r="CY15" s="563">
        <f t="shared" ref="CY15:CY20" si="88">IFERROR(CX15/$FV15*1000,0)</f>
        <v>0</v>
      </c>
      <c r="DA15" s="448"/>
      <c r="DB15" s="448"/>
      <c r="DC15" s="448"/>
      <c r="DD15" s="434"/>
      <c r="DE15" s="566">
        <v>0</v>
      </c>
      <c r="DF15" s="564">
        <f t="shared" si="33"/>
        <v>0</v>
      </c>
      <c r="DI15" s="438">
        <f t="shared" ref="DI15:DI20" si="89">DI31*$N15</f>
        <v>0</v>
      </c>
      <c r="DJ15" s="439">
        <f>IFERROR(DI15/$FV$15*1000,0)</f>
        <v>0</v>
      </c>
      <c r="DL15" s="438">
        <f t="shared" si="86"/>
        <v>0</v>
      </c>
      <c r="DM15" s="439">
        <f>IFERROR(DL15/$FV$15*1000,0)</f>
        <v>0</v>
      </c>
      <c r="DO15" s="438">
        <f t="shared" si="54"/>
        <v>0</v>
      </c>
      <c r="DP15" s="439">
        <f t="shared" si="55"/>
        <v>0</v>
      </c>
      <c r="DQ15" s="439"/>
      <c r="DR15" s="438">
        <f t="shared" ref="DR15:DR20" si="90">$DR$21*$N15</f>
        <v>0</v>
      </c>
      <c r="DS15" s="439">
        <f>IFERROR(DR15/$FV$15*1000,0)</f>
        <v>0</v>
      </c>
      <c r="DU15" s="438">
        <f t="shared" ref="DU15:DU20" si="91">$DU$21*$N15</f>
        <v>0</v>
      </c>
      <c r="DV15" s="439">
        <f>IFERROR(DU15/$FV$15*1000,0)</f>
        <v>0</v>
      </c>
      <c r="DX15" s="702">
        <f t="shared" ref="DX15:DX20" si="92">$DX$21*$N15</f>
        <v>0</v>
      </c>
      <c r="DY15" s="703">
        <f>IFERROR(DX15/$FV$15*1000,0)</f>
        <v>0</v>
      </c>
      <c r="EA15" s="438"/>
      <c r="EB15" s="439"/>
      <c r="ED15" s="435">
        <f t="shared" si="87"/>
        <v>0</v>
      </c>
      <c r="EE15" s="434">
        <f>IFERROR(ED15/$FV$15*1000,0)</f>
        <v>0</v>
      </c>
      <c r="EG15" s="435">
        <f t="shared" si="70"/>
        <v>0</v>
      </c>
      <c r="EH15" s="434">
        <f>IFERROR(EG15/$FV$15*1000,0)</f>
        <v>0</v>
      </c>
      <c r="EJ15" s="570">
        <f t="shared" si="34"/>
        <v>0</v>
      </c>
      <c r="EK15" s="562">
        <f t="shared" si="35"/>
        <v>0</v>
      </c>
      <c r="EM15" s="435">
        <f t="shared" si="84"/>
        <v>0</v>
      </c>
      <c r="EN15" s="434">
        <f>IFERROR(EM15/$FV$15*1000,0)</f>
        <v>0</v>
      </c>
      <c r="EP15" s="449"/>
      <c r="EW15" s="449"/>
      <c r="FD15" s="443">
        <f t="shared" si="76"/>
        <v>0</v>
      </c>
      <c r="FE15" s="444">
        <f>IFERROR(FD15/$FV$15*1000,0)</f>
        <v>0</v>
      </c>
      <c r="FG15" s="402">
        <f t="shared" si="37"/>
        <v>0</v>
      </c>
      <c r="FH15" s="426">
        <f t="shared" si="38"/>
        <v>0</v>
      </c>
      <c r="FJ15" s="402">
        <v>0</v>
      </c>
      <c r="FK15" s="781">
        <f t="shared" si="39"/>
        <v>0</v>
      </c>
      <c r="FM15" s="402">
        <f t="shared" si="40"/>
        <v>0</v>
      </c>
      <c r="FN15" s="781">
        <f t="shared" si="41"/>
        <v>0</v>
      </c>
      <c r="FP15" s="560">
        <f t="shared" si="85"/>
        <v>0</v>
      </c>
      <c r="FQ15" s="563">
        <f t="shared" si="42"/>
        <v>0</v>
      </c>
      <c r="FS15" s="402">
        <f t="shared" si="43"/>
        <v>0</v>
      </c>
      <c r="FT15" s="426">
        <f t="shared" si="44"/>
        <v>0</v>
      </c>
      <c r="FV15" s="402">
        <f t="shared" si="45"/>
        <v>0</v>
      </c>
      <c r="FW15" s="402">
        <f t="shared" si="46"/>
        <v>0</v>
      </c>
    </row>
    <row r="16" spans="1:179" s="447" customFormat="1" ht="15.5" x14ac:dyDescent="0.35">
      <c r="A16" s="621"/>
      <c r="B16" s="398"/>
      <c r="C16" s="589"/>
      <c r="D16" s="685"/>
      <c r="E16" s="685"/>
      <c r="F16" s="685"/>
      <c r="G16" s="592"/>
      <c r="H16" s="589">
        <f t="shared" si="77"/>
        <v>0</v>
      </c>
      <c r="I16" s="589">
        <f t="shared" si="78"/>
        <v>0</v>
      </c>
      <c r="J16" s="589">
        <f t="shared" si="79"/>
        <v>0</v>
      </c>
      <c r="K16" s="589">
        <f t="shared" si="80"/>
        <v>0</v>
      </c>
      <c r="L16" s="590">
        <f t="shared" si="69"/>
        <v>0</v>
      </c>
      <c r="M16" s="590">
        <f t="shared" si="10"/>
        <v>0</v>
      </c>
      <c r="N16" s="593">
        <f t="shared" si="81"/>
        <v>0</v>
      </c>
      <c r="O16" s="597">
        <f t="shared" si="5"/>
        <v>0</v>
      </c>
      <c r="Q16" s="448"/>
      <c r="R16" s="448"/>
      <c r="S16" s="448"/>
      <c r="T16" s="448"/>
      <c r="U16" s="448"/>
      <c r="V16" s="448"/>
      <c r="W16" s="448"/>
      <c r="X16" s="448"/>
      <c r="Y16" s="448"/>
      <c r="Z16" s="448"/>
      <c r="AA16" s="448"/>
      <c r="AB16" s="448"/>
      <c r="AC16" s="448"/>
      <c r="AD16" s="448"/>
      <c r="AE16" s="448"/>
      <c r="AF16" s="448"/>
      <c r="AG16" s="448"/>
      <c r="AH16" s="448"/>
      <c r="AI16" s="448"/>
      <c r="AJ16" s="448"/>
      <c r="AK16" s="448"/>
      <c r="AM16" s="448"/>
      <c r="AN16" s="448"/>
      <c r="AO16" s="448"/>
      <c r="AP16" s="448"/>
      <c r="AQ16" s="448"/>
      <c r="AR16" s="448"/>
      <c r="AS16" s="448"/>
      <c r="AT16" s="448"/>
      <c r="AU16" s="448"/>
      <c r="AV16" s="448"/>
      <c r="AW16" s="448"/>
      <c r="AX16" s="448"/>
      <c r="AY16" s="448"/>
      <c r="AZ16" s="448"/>
      <c r="BA16" s="448"/>
      <c r="BB16" s="448"/>
      <c r="BC16" s="448"/>
      <c r="BD16" s="448"/>
      <c r="BE16" s="448"/>
      <c r="BF16" s="448"/>
      <c r="BG16" s="448"/>
      <c r="BH16" s="448"/>
      <c r="BI16" s="448"/>
      <c r="BJ16" s="448"/>
      <c r="BK16" s="448"/>
      <c r="BL16" s="448"/>
      <c r="BM16" s="448"/>
      <c r="BO16" s="448"/>
      <c r="BP16" s="448"/>
      <c r="BQ16" s="448"/>
      <c r="BR16" s="448"/>
      <c r="BS16" s="448"/>
      <c r="BT16" s="448"/>
      <c r="BU16" s="448"/>
      <c r="BV16" s="448"/>
      <c r="BW16" s="448"/>
      <c r="BX16" s="448"/>
      <c r="BY16" s="448"/>
      <c r="BZ16" s="448"/>
      <c r="CA16" s="448"/>
      <c r="CB16" s="448"/>
      <c r="CC16" s="448"/>
      <c r="CD16" s="448"/>
      <c r="CE16" s="448"/>
      <c r="CF16" s="448"/>
      <c r="CG16" s="448"/>
      <c r="CH16" s="448"/>
      <c r="CJ16" s="448"/>
      <c r="CK16" s="448"/>
      <c r="CL16" s="448"/>
      <c r="CM16" s="448"/>
      <c r="CN16" s="448"/>
      <c r="CP16" s="448"/>
      <c r="CQ16" s="448"/>
      <c r="CR16" s="448"/>
      <c r="CS16" s="448"/>
      <c r="CU16" s="448"/>
      <c r="CV16" s="448"/>
      <c r="CX16" s="441">
        <f>SUMIF(Transport!B:B,'Feed + carbon calculator'!A16,Transport!M:M)</f>
        <v>0</v>
      </c>
      <c r="CY16" s="563">
        <f t="shared" si="88"/>
        <v>0</v>
      </c>
      <c r="DA16" s="448"/>
      <c r="DB16" s="448"/>
      <c r="DC16" s="448"/>
      <c r="DD16" s="434"/>
      <c r="DE16" s="566">
        <v>0</v>
      </c>
      <c r="DF16" s="564">
        <f t="shared" si="33"/>
        <v>0</v>
      </c>
      <c r="DI16" s="438">
        <f t="shared" si="89"/>
        <v>0</v>
      </c>
      <c r="DJ16" s="439">
        <f>IFERROR(DI16/$FV$16*1000,0)</f>
        <v>0</v>
      </c>
      <c r="DL16" s="438">
        <f t="shared" si="86"/>
        <v>0</v>
      </c>
      <c r="DM16" s="439">
        <f>IFERROR(DL16/$FV$16*1000,0)</f>
        <v>0</v>
      </c>
      <c r="DO16" s="438">
        <f t="shared" si="54"/>
        <v>0</v>
      </c>
      <c r="DP16" s="439">
        <f t="shared" si="55"/>
        <v>0</v>
      </c>
      <c r="DQ16" s="439"/>
      <c r="DR16" s="438">
        <f t="shared" si="90"/>
        <v>0</v>
      </c>
      <c r="DS16" s="439">
        <f>IFERROR(DR16/$FV$16*1000,0)</f>
        <v>0</v>
      </c>
      <c r="DU16" s="438">
        <f t="shared" si="91"/>
        <v>0</v>
      </c>
      <c r="DV16" s="439">
        <f>IFERROR(DU16/$FV$16*1000,0)</f>
        <v>0</v>
      </c>
      <c r="DX16" s="702">
        <f t="shared" si="92"/>
        <v>0</v>
      </c>
      <c r="DY16" s="703">
        <f>IFERROR(DX16/$FV$16*1000,0)</f>
        <v>0</v>
      </c>
      <c r="EA16" s="438"/>
      <c r="EB16" s="439"/>
      <c r="ED16" s="435">
        <f t="shared" si="87"/>
        <v>0</v>
      </c>
      <c r="EE16" s="434">
        <f>IFERROR(ED16/$FV$16*1000,0)</f>
        <v>0</v>
      </c>
      <c r="EG16" s="435">
        <f t="shared" si="70"/>
        <v>0</v>
      </c>
      <c r="EH16" s="434">
        <f>IFERROR(EG16/$FV$16*1000,0)</f>
        <v>0</v>
      </c>
      <c r="EJ16" s="570">
        <f t="shared" si="34"/>
        <v>0</v>
      </c>
      <c r="EK16" s="562">
        <f t="shared" si="35"/>
        <v>0</v>
      </c>
      <c r="EM16" s="435">
        <f t="shared" si="84"/>
        <v>0</v>
      </c>
      <c r="EN16" s="434">
        <f>IFERROR(EM16/$FV$16*1000,0)</f>
        <v>0</v>
      </c>
      <c r="EP16" s="449"/>
      <c r="EW16" s="449"/>
      <c r="FD16" s="443">
        <f t="shared" si="76"/>
        <v>0</v>
      </c>
      <c r="FE16" s="444">
        <f>IFERROR(FD16/$FV$16*1000,0)</f>
        <v>0</v>
      </c>
      <c r="FG16" s="402">
        <f t="shared" si="37"/>
        <v>0</v>
      </c>
      <c r="FH16" s="426">
        <f t="shared" si="38"/>
        <v>0</v>
      </c>
      <c r="FJ16" s="402">
        <v>0</v>
      </c>
      <c r="FK16" s="781">
        <f t="shared" si="39"/>
        <v>0</v>
      </c>
      <c r="FM16" s="402">
        <f t="shared" si="40"/>
        <v>0</v>
      </c>
      <c r="FN16" s="781">
        <f t="shared" si="41"/>
        <v>0</v>
      </c>
      <c r="FP16" s="560">
        <f t="shared" si="85"/>
        <v>0</v>
      </c>
      <c r="FQ16" s="563">
        <f t="shared" si="42"/>
        <v>0</v>
      </c>
      <c r="FS16" s="402">
        <f t="shared" si="43"/>
        <v>0</v>
      </c>
      <c r="FT16" s="426">
        <f t="shared" si="44"/>
        <v>0</v>
      </c>
      <c r="FV16" s="402">
        <f t="shared" si="45"/>
        <v>0</v>
      </c>
      <c r="FW16" s="402">
        <f t="shared" si="46"/>
        <v>0</v>
      </c>
    </row>
    <row r="17" spans="1:179" s="447" customFormat="1" ht="15.5" x14ac:dyDescent="0.35">
      <c r="A17" s="622"/>
      <c r="B17" s="398"/>
      <c r="C17" s="399"/>
      <c r="D17" s="685"/>
      <c r="E17" s="685"/>
      <c r="F17" s="685"/>
      <c r="G17" s="589"/>
      <c r="H17" s="399">
        <f t="shared" si="77"/>
        <v>0</v>
      </c>
      <c r="I17" s="399">
        <f t="shared" si="78"/>
        <v>0</v>
      </c>
      <c r="J17" s="399">
        <f t="shared" si="79"/>
        <v>0</v>
      </c>
      <c r="K17" s="399">
        <f t="shared" si="80"/>
        <v>0</v>
      </c>
      <c r="L17" s="400">
        <f t="shared" si="69"/>
        <v>0</v>
      </c>
      <c r="M17" s="400">
        <f t="shared" si="10"/>
        <v>0</v>
      </c>
      <c r="N17" s="586">
        <f t="shared" si="81"/>
        <v>0</v>
      </c>
      <c r="O17" s="597">
        <f t="shared" si="5"/>
        <v>0</v>
      </c>
      <c r="Q17" s="448"/>
      <c r="R17" s="448"/>
      <c r="S17" s="448"/>
      <c r="T17" s="448"/>
      <c r="U17" s="448"/>
      <c r="V17" s="448"/>
      <c r="W17" s="448"/>
      <c r="X17" s="448"/>
      <c r="Y17" s="448"/>
      <c r="Z17" s="448"/>
      <c r="AA17" s="448"/>
      <c r="AB17" s="448"/>
      <c r="AC17" s="448"/>
      <c r="AD17" s="448"/>
      <c r="AE17" s="448"/>
      <c r="AF17" s="448"/>
      <c r="AG17" s="448"/>
      <c r="AH17" s="448"/>
      <c r="AI17" s="448"/>
      <c r="AJ17" s="448"/>
      <c r="AK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O17" s="448"/>
      <c r="BP17" s="448"/>
      <c r="BQ17" s="448"/>
      <c r="BR17" s="448"/>
      <c r="BS17" s="448"/>
      <c r="BT17" s="448"/>
      <c r="BU17" s="448"/>
      <c r="BV17" s="448"/>
      <c r="BW17" s="448"/>
      <c r="BX17" s="448"/>
      <c r="BY17" s="448"/>
      <c r="BZ17" s="448"/>
      <c r="CA17" s="448"/>
      <c r="CB17" s="448"/>
      <c r="CC17" s="448"/>
      <c r="CD17" s="448"/>
      <c r="CE17" s="448"/>
      <c r="CF17" s="448"/>
      <c r="CG17" s="448"/>
      <c r="CH17" s="448"/>
      <c r="CJ17" s="448"/>
      <c r="CK17" s="448"/>
      <c r="CL17" s="448"/>
      <c r="CM17" s="448"/>
      <c r="CN17" s="448"/>
      <c r="CP17" s="448"/>
      <c r="CQ17" s="448"/>
      <c r="CR17" s="448"/>
      <c r="CS17" s="448"/>
      <c r="CU17" s="448"/>
      <c r="CV17" s="448"/>
      <c r="CX17" s="441">
        <f>SUMIF(Transport!B:B,'Feed + carbon calculator'!A17,Transport!M:M)</f>
        <v>0</v>
      </c>
      <c r="CY17" s="563">
        <f t="shared" si="88"/>
        <v>0</v>
      </c>
      <c r="DA17" s="448"/>
      <c r="DB17" s="448"/>
      <c r="DC17" s="448"/>
      <c r="DD17" s="434"/>
      <c r="DE17" s="566">
        <v>0</v>
      </c>
      <c r="DF17" s="564">
        <f t="shared" si="33"/>
        <v>0</v>
      </c>
      <c r="DI17" s="438">
        <f t="shared" si="89"/>
        <v>0</v>
      </c>
      <c r="DJ17" s="439">
        <f>IFERROR(DI17/$FV$17*1000,0)</f>
        <v>0</v>
      </c>
      <c r="DL17" s="438">
        <f t="shared" si="86"/>
        <v>0</v>
      </c>
      <c r="DM17" s="439">
        <f>IFERROR(DL17/$FV$17*1000,0)</f>
        <v>0</v>
      </c>
      <c r="DO17" s="438">
        <f>$DO$21*$N17</f>
        <v>0</v>
      </c>
      <c r="DP17" s="439">
        <f>IFERROR(DO17/$FV$17*1000,0)</f>
        <v>0</v>
      </c>
      <c r="DQ17" s="439"/>
      <c r="DR17" s="438">
        <f t="shared" si="90"/>
        <v>0</v>
      </c>
      <c r="DS17" s="439">
        <f>IFERROR(DR17/$FV$17*1000,0)</f>
        <v>0</v>
      </c>
      <c r="DU17" s="438">
        <f t="shared" si="91"/>
        <v>0</v>
      </c>
      <c r="DV17" s="439">
        <f>IFERROR(DU17/$FV$17*1000,0)</f>
        <v>0</v>
      </c>
      <c r="DX17" s="702">
        <f t="shared" si="92"/>
        <v>0</v>
      </c>
      <c r="DY17" s="703">
        <f>IFERROR(DX17/$FV$17*1000,0)</f>
        <v>0</v>
      </c>
      <c r="EA17" s="438"/>
      <c r="EB17" s="439"/>
      <c r="ED17" s="435">
        <f t="shared" si="87"/>
        <v>0</v>
      </c>
      <c r="EE17" s="434">
        <f>IFERROR(ED17/$FV$17*1000,0)</f>
        <v>0</v>
      </c>
      <c r="EG17" s="435">
        <f t="shared" si="70"/>
        <v>0</v>
      </c>
      <c r="EH17" s="434">
        <f>IFERROR(EG17/$FV$17*1000,0)</f>
        <v>0</v>
      </c>
      <c r="EJ17" s="570">
        <f t="shared" si="34"/>
        <v>0</v>
      </c>
      <c r="EK17" s="562">
        <f t="shared" si="35"/>
        <v>0</v>
      </c>
      <c r="EM17" s="435">
        <f t="shared" si="84"/>
        <v>0</v>
      </c>
      <c r="EN17" s="434">
        <f>IFERROR(EM17/$FV$17*1000,0)</f>
        <v>0</v>
      </c>
      <c r="EP17" s="449"/>
      <c r="EW17" s="449"/>
      <c r="FD17" s="443">
        <f t="shared" si="76"/>
        <v>0</v>
      </c>
      <c r="FE17" s="444">
        <f>IFERROR(FD17/$FV$17*1000,0)</f>
        <v>0</v>
      </c>
      <c r="FG17" s="402">
        <f t="shared" si="37"/>
        <v>0</v>
      </c>
      <c r="FH17" s="426">
        <f t="shared" si="38"/>
        <v>0</v>
      </c>
      <c r="FJ17" s="402">
        <v>0</v>
      </c>
      <c r="FK17" s="781">
        <f t="shared" si="39"/>
        <v>0</v>
      </c>
      <c r="FM17" s="402">
        <f t="shared" si="40"/>
        <v>0</v>
      </c>
      <c r="FN17" s="781">
        <f t="shared" si="41"/>
        <v>0</v>
      </c>
      <c r="FP17" s="560">
        <f t="shared" si="85"/>
        <v>0</v>
      </c>
      <c r="FQ17" s="563">
        <f t="shared" si="42"/>
        <v>0</v>
      </c>
      <c r="FS17" s="402">
        <f t="shared" si="43"/>
        <v>0</v>
      </c>
      <c r="FT17" s="426">
        <f t="shared" si="44"/>
        <v>0</v>
      </c>
      <c r="FV17" s="402">
        <f t="shared" si="45"/>
        <v>0</v>
      </c>
      <c r="FW17" s="402">
        <f t="shared" si="46"/>
        <v>0</v>
      </c>
    </row>
    <row r="18" spans="1:179" s="447" customFormat="1" ht="15.5" x14ac:dyDescent="0.35">
      <c r="A18" s="622"/>
      <c r="B18" s="398"/>
      <c r="C18" s="399"/>
      <c r="D18" s="685"/>
      <c r="E18" s="685"/>
      <c r="F18" s="685"/>
      <c r="G18" s="589"/>
      <c r="H18" s="399">
        <f t="shared" si="77"/>
        <v>0</v>
      </c>
      <c r="I18" s="399">
        <f t="shared" si="78"/>
        <v>0</v>
      </c>
      <c r="J18" s="399">
        <f t="shared" si="79"/>
        <v>0</v>
      </c>
      <c r="K18" s="399">
        <f t="shared" si="80"/>
        <v>0</v>
      </c>
      <c r="L18" s="400">
        <f t="shared" si="69"/>
        <v>0</v>
      </c>
      <c r="M18" s="400">
        <f t="shared" si="10"/>
        <v>0</v>
      </c>
      <c r="N18" s="586">
        <f t="shared" si="81"/>
        <v>0</v>
      </c>
      <c r="O18" s="597">
        <f t="shared" si="5"/>
        <v>0</v>
      </c>
      <c r="Q18" s="448"/>
      <c r="R18" s="448"/>
      <c r="S18" s="448"/>
      <c r="T18" s="448"/>
      <c r="U18" s="448"/>
      <c r="V18" s="448"/>
      <c r="W18" s="448"/>
      <c r="X18" s="448"/>
      <c r="Y18" s="448"/>
      <c r="Z18" s="448"/>
      <c r="AA18" s="448"/>
      <c r="AB18" s="448"/>
      <c r="AC18" s="448"/>
      <c r="AD18" s="448"/>
      <c r="AE18" s="448"/>
      <c r="AF18" s="448"/>
      <c r="AG18" s="448"/>
      <c r="AH18" s="448"/>
      <c r="AI18" s="448"/>
      <c r="AJ18" s="448"/>
      <c r="AK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O18" s="448"/>
      <c r="BP18" s="448"/>
      <c r="BQ18" s="448"/>
      <c r="BR18" s="448"/>
      <c r="BS18" s="448"/>
      <c r="BT18" s="448"/>
      <c r="BU18" s="448"/>
      <c r="BV18" s="448"/>
      <c r="BW18" s="448"/>
      <c r="BX18" s="448"/>
      <c r="BY18" s="448"/>
      <c r="BZ18" s="448"/>
      <c r="CA18" s="448"/>
      <c r="CB18" s="448"/>
      <c r="CC18" s="448"/>
      <c r="CD18" s="448"/>
      <c r="CE18" s="448"/>
      <c r="CF18" s="448"/>
      <c r="CG18" s="448"/>
      <c r="CH18" s="448"/>
      <c r="CJ18" s="448"/>
      <c r="CK18" s="448"/>
      <c r="CL18" s="448"/>
      <c r="CM18" s="448"/>
      <c r="CN18" s="448"/>
      <c r="CP18" s="448"/>
      <c r="CQ18" s="448"/>
      <c r="CR18" s="448"/>
      <c r="CS18" s="448"/>
      <c r="CU18" s="448"/>
      <c r="CV18" s="448"/>
      <c r="CX18" s="441">
        <f>SUMIF(Transport!B:B,'Feed + carbon calculator'!A18,Transport!M:M)</f>
        <v>0</v>
      </c>
      <c r="CY18" s="563">
        <f t="shared" si="88"/>
        <v>0</v>
      </c>
      <c r="DA18" s="448"/>
      <c r="DB18" s="448"/>
      <c r="DC18" s="448"/>
      <c r="DD18" s="434"/>
      <c r="DE18" s="566">
        <v>0</v>
      </c>
      <c r="DF18" s="564">
        <f t="shared" si="33"/>
        <v>0</v>
      </c>
      <c r="DI18" s="438">
        <f t="shared" si="89"/>
        <v>0</v>
      </c>
      <c r="DJ18" s="439">
        <f>IFERROR(DI18/$FV$18*1000,0)</f>
        <v>0</v>
      </c>
      <c r="DL18" s="438">
        <f t="shared" si="86"/>
        <v>0</v>
      </c>
      <c r="DM18" s="439">
        <f>IFERROR(DL18/$FV$18*1000,0)</f>
        <v>0</v>
      </c>
      <c r="DO18" s="438">
        <f>$DO$21*$N18</f>
        <v>0</v>
      </c>
      <c r="DP18" s="439">
        <f>IFERROR(DO18/$FV$18*1000,0)</f>
        <v>0</v>
      </c>
      <c r="DQ18" s="439"/>
      <c r="DR18" s="438">
        <f t="shared" si="90"/>
        <v>0</v>
      </c>
      <c r="DS18" s="439">
        <f>IFERROR(DR18/$FV$18*1000,0)</f>
        <v>0</v>
      </c>
      <c r="DU18" s="438">
        <f t="shared" si="91"/>
        <v>0</v>
      </c>
      <c r="DV18" s="439">
        <f>IFERROR(DU18/$FV$18*1000,0)</f>
        <v>0</v>
      </c>
      <c r="DX18" s="702">
        <f t="shared" si="92"/>
        <v>0</v>
      </c>
      <c r="DY18" s="703">
        <f>IFERROR(DX18/$FV$18*1000,0)</f>
        <v>0</v>
      </c>
      <c r="EA18" s="438"/>
      <c r="EB18" s="439"/>
      <c r="ED18" s="435">
        <f t="shared" si="87"/>
        <v>0</v>
      </c>
      <c r="EE18" s="434">
        <f>IFERROR(ED18/$FV$18*1000,0)</f>
        <v>0</v>
      </c>
      <c r="EG18" s="435">
        <f t="shared" si="70"/>
        <v>0</v>
      </c>
      <c r="EH18" s="434">
        <f>IFERROR(EG18/$FV$18*1000,0)</f>
        <v>0</v>
      </c>
      <c r="EJ18" s="570">
        <f t="shared" si="34"/>
        <v>0</v>
      </c>
      <c r="EK18" s="562">
        <f t="shared" si="35"/>
        <v>0</v>
      </c>
      <c r="EM18" s="435">
        <f t="shared" si="84"/>
        <v>0</v>
      </c>
      <c r="EN18" s="434">
        <f>IFERROR(EM18/$FV$18*1000,0)</f>
        <v>0</v>
      </c>
      <c r="EP18" s="449"/>
      <c r="EW18" s="449"/>
      <c r="FD18" s="443">
        <f t="shared" si="76"/>
        <v>0</v>
      </c>
      <c r="FE18" s="444">
        <f>IFERROR(FD18/$FV$18*1000,0)</f>
        <v>0</v>
      </c>
      <c r="FG18" s="402">
        <f t="shared" si="37"/>
        <v>0</v>
      </c>
      <c r="FH18" s="426">
        <f t="shared" si="38"/>
        <v>0</v>
      </c>
      <c r="FJ18" s="402">
        <v>0</v>
      </c>
      <c r="FK18" s="781">
        <f t="shared" si="39"/>
        <v>0</v>
      </c>
      <c r="FM18" s="402">
        <f t="shared" si="40"/>
        <v>0</v>
      </c>
      <c r="FN18" s="781">
        <f t="shared" si="41"/>
        <v>0</v>
      </c>
      <c r="FP18" s="560">
        <f t="shared" si="85"/>
        <v>0</v>
      </c>
      <c r="FQ18" s="563">
        <f t="shared" si="42"/>
        <v>0</v>
      </c>
      <c r="FS18" s="402">
        <f t="shared" si="43"/>
        <v>0</v>
      </c>
      <c r="FT18" s="426">
        <f t="shared" si="44"/>
        <v>0</v>
      </c>
      <c r="FV18" s="402">
        <f t="shared" si="45"/>
        <v>0</v>
      </c>
      <c r="FW18" s="402">
        <f t="shared" si="46"/>
        <v>0</v>
      </c>
    </row>
    <row r="19" spans="1:179" s="447" customFormat="1" ht="15.5" x14ac:dyDescent="0.35">
      <c r="A19" s="622"/>
      <c r="B19" s="398"/>
      <c r="C19" s="399"/>
      <c r="D19" s="685"/>
      <c r="E19" s="685"/>
      <c r="F19" s="685"/>
      <c r="G19" s="589"/>
      <c r="H19" s="399">
        <f t="shared" si="77"/>
        <v>0</v>
      </c>
      <c r="I19" s="399">
        <f t="shared" si="78"/>
        <v>0</v>
      </c>
      <c r="J19" s="399">
        <f t="shared" si="79"/>
        <v>0</v>
      </c>
      <c r="K19" s="399">
        <f t="shared" si="80"/>
        <v>0</v>
      </c>
      <c r="L19" s="400">
        <f t="shared" si="69"/>
        <v>0</v>
      </c>
      <c r="M19" s="400">
        <f t="shared" si="10"/>
        <v>0</v>
      </c>
      <c r="N19" s="586">
        <f t="shared" si="81"/>
        <v>0</v>
      </c>
      <c r="O19" s="597">
        <f t="shared" ref="O19:O20" si="93">FT19</f>
        <v>0</v>
      </c>
      <c r="Q19" s="448"/>
      <c r="R19" s="448"/>
      <c r="S19" s="448"/>
      <c r="T19" s="448"/>
      <c r="U19" s="448"/>
      <c r="V19" s="448"/>
      <c r="W19" s="448"/>
      <c r="X19" s="448"/>
      <c r="Y19" s="448"/>
      <c r="Z19" s="448"/>
      <c r="AA19" s="448"/>
      <c r="AB19" s="448"/>
      <c r="AC19" s="448"/>
      <c r="AD19" s="448"/>
      <c r="AE19" s="448"/>
      <c r="AF19" s="448"/>
      <c r="AG19" s="448"/>
      <c r="AH19" s="448"/>
      <c r="AI19" s="448"/>
      <c r="AJ19" s="448"/>
      <c r="AK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O19" s="448"/>
      <c r="BP19" s="448"/>
      <c r="BQ19" s="448"/>
      <c r="BR19" s="448"/>
      <c r="BS19" s="448"/>
      <c r="BT19" s="448"/>
      <c r="BU19" s="448"/>
      <c r="BV19" s="448"/>
      <c r="BW19" s="448"/>
      <c r="BX19" s="448"/>
      <c r="BY19" s="448"/>
      <c r="BZ19" s="448"/>
      <c r="CA19" s="448"/>
      <c r="CB19" s="448"/>
      <c r="CC19" s="448"/>
      <c r="CD19" s="448"/>
      <c r="CE19" s="448"/>
      <c r="CF19" s="448"/>
      <c r="CG19" s="448"/>
      <c r="CH19" s="448"/>
      <c r="CJ19" s="448"/>
      <c r="CK19" s="448"/>
      <c r="CL19" s="448"/>
      <c r="CM19" s="448"/>
      <c r="CN19" s="448"/>
      <c r="CP19" s="448"/>
      <c r="CQ19" s="448"/>
      <c r="CR19" s="448"/>
      <c r="CS19" s="448"/>
      <c r="CU19" s="448"/>
      <c r="CV19" s="448"/>
      <c r="CX19" s="441">
        <f>SUMIF(Transport!B:B,'Feed + carbon calculator'!A19,Transport!M:M)</f>
        <v>0</v>
      </c>
      <c r="CY19" s="563">
        <f t="shared" si="88"/>
        <v>0</v>
      </c>
      <c r="DA19" s="448"/>
      <c r="DB19" s="448"/>
      <c r="DC19" s="448"/>
      <c r="DD19" s="434"/>
      <c r="DE19" s="566">
        <v>0</v>
      </c>
      <c r="DF19" s="564">
        <f t="shared" si="33"/>
        <v>0</v>
      </c>
      <c r="DI19" s="438">
        <f t="shared" si="89"/>
        <v>0</v>
      </c>
      <c r="DJ19" s="439">
        <f>IFERROR(DI19/$FV$19*1000,0)</f>
        <v>0</v>
      </c>
      <c r="DL19" s="438">
        <f t="shared" si="86"/>
        <v>0</v>
      </c>
      <c r="DM19" s="439">
        <f>IFERROR(DL19/$FV$19*1000,0)</f>
        <v>0</v>
      </c>
      <c r="DO19" s="438">
        <f>$DO$21*$N19</f>
        <v>0</v>
      </c>
      <c r="DP19" s="439">
        <f>IFERROR(DO19/$FV$19*1000,0)</f>
        <v>0</v>
      </c>
      <c r="DQ19" s="439"/>
      <c r="DR19" s="438">
        <f t="shared" si="90"/>
        <v>0</v>
      </c>
      <c r="DS19" s="439">
        <f>IFERROR(DR19/$FV$19*1000,0)</f>
        <v>0</v>
      </c>
      <c r="DU19" s="438">
        <f t="shared" si="91"/>
        <v>0</v>
      </c>
      <c r="DV19" s="439">
        <f>IFERROR(DU19/$FV$19*1000,0)</f>
        <v>0</v>
      </c>
      <c r="DX19" s="702">
        <f t="shared" si="92"/>
        <v>0</v>
      </c>
      <c r="DY19" s="703">
        <f>IFERROR(DX19/$FV$19*1000,0)</f>
        <v>0</v>
      </c>
      <c r="EA19" s="438"/>
      <c r="EB19" s="439"/>
      <c r="ED19" s="435">
        <f t="shared" si="87"/>
        <v>0</v>
      </c>
      <c r="EE19" s="434">
        <f>IFERROR(ED19/$FV$19*1000,0)</f>
        <v>0</v>
      </c>
      <c r="EG19" s="435">
        <f t="shared" si="70"/>
        <v>0</v>
      </c>
      <c r="EH19" s="434">
        <f>IFERROR(EG19/$FV$19*1000,0)</f>
        <v>0</v>
      </c>
      <c r="EJ19" s="570">
        <f t="shared" si="34"/>
        <v>0</v>
      </c>
      <c r="EK19" s="562">
        <f t="shared" si="35"/>
        <v>0</v>
      </c>
      <c r="EM19" s="435">
        <f t="shared" si="84"/>
        <v>0</v>
      </c>
      <c r="EN19" s="434">
        <f>IFERROR(EM19/$FV$19*1000,0)</f>
        <v>0</v>
      </c>
      <c r="EP19" s="449"/>
      <c r="EW19" s="449"/>
      <c r="FD19" s="443">
        <f t="shared" si="76"/>
        <v>0</v>
      </c>
      <c r="FE19" s="444">
        <f>IFERROR(FD19/$FV$19*1000,0)</f>
        <v>0</v>
      </c>
      <c r="FG19" s="402">
        <f t="shared" si="37"/>
        <v>0</v>
      </c>
      <c r="FH19" s="426">
        <f t="shared" si="38"/>
        <v>0</v>
      </c>
      <c r="FJ19" s="402">
        <v>0</v>
      </c>
      <c r="FK19" s="781">
        <f t="shared" si="39"/>
        <v>0</v>
      </c>
      <c r="FM19" s="402">
        <f t="shared" si="40"/>
        <v>0</v>
      </c>
      <c r="FN19" s="781">
        <f t="shared" si="41"/>
        <v>0</v>
      </c>
      <c r="FP19" s="560">
        <f t="shared" si="85"/>
        <v>0</v>
      </c>
      <c r="FQ19" s="563">
        <f t="shared" si="42"/>
        <v>0</v>
      </c>
      <c r="FS19" s="402">
        <f t="shared" si="43"/>
        <v>0</v>
      </c>
      <c r="FT19" s="426">
        <f t="shared" si="44"/>
        <v>0</v>
      </c>
      <c r="FV19" s="402">
        <f t="shared" si="45"/>
        <v>0</v>
      </c>
      <c r="FW19" s="402">
        <f t="shared" si="46"/>
        <v>0</v>
      </c>
    </row>
    <row r="20" spans="1:179" s="447" customFormat="1" ht="16" thickBot="1" x14ac:dyDescent="0.4">
      <c r="A20" s="622"/>
      <c r="B20" s="398"/>
      <c r="C20" s="399"/>
      <c r="D20" s="685"/>
      <c r="E20" s="685"/>
      <c r="F20" s="685"/>
      <c r="G20" s="589"/>
      <c r="H20" s="399">
        <f t="shared" si="77"/>
        <v>0</v>
      </c>
      <c r="I20" s="399">
        <f t="shared" si="78"/>
        <v>0</v>
      </c>
      <c r="J20" s="399">
        <f t="shared" si="79"/>
        <v>0</v>
      </c>
      <c r="K20" s="399">
        <f t="shared" si="80"/>
        <v>0</v>
      </c>
      <c r="L20" s="400">
        <f t="shared" si="69"/>
        <v>0</v>
      </c>
      <c r="M20" s="400">
        <f t="shared" si="10"/>
        <v>0</v>
      </c>
      <c r="N20" s="587">
        <f t="shared" si="81"/>
        <v>0</v>
      </c>
      <c r="O20" s="597">
        <f t="shared" si="93"/>
        <v>0</v>
      </c>
      <c r="Q20" s="448"/>
      <c r="R20" s="448"/>
      <c r="S20" s="448"/>
      <c r="T20" s="448"/>
      <c r="U20" s="448"/>
      <c r="V20" s="448"/>
      <c r="W20" s="448"/>
      <c r="X20" s="448"/>
      <c r="Y20" s="448"/>
      <c r="Z20" s="448"/>
      <c r="AA20" s="448"/>
      <c r="AB20" s="448"/>
      <c r="AC20" s="448"/>
      <c r="AD20" s="448"/>
      <c r="AE20" s="448"/>
      <c r="AF20" s="448"/>
      <c r="AG20" s="448"/>
      <c r="AH20" s="448"/>
      <c r="AI20" s="448"/>
      <c r="AJ20" s="448"/>
      <c r="AK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O20" s="448"/>
      <c r="BP20" s="448"/>
      <c r="BQ20" s="448"/>
      <c r="BR20" s="448"/>
      <c r="BS20" s="448"/>
      <c r="BT20" s="448"/>
      <c r="BU20" s="448"/>
      <c r="BV20" s="448"/>
      <c r="BW20" s="448"/>
      <c r="BX20" s="448"/>
      <c r="BY20" s="448"/>
      <c r="BZ20" s="448"/>
      <c r="CA20" s="448"/>
      <c r="CB20" s="448"/>
      <c r="CC20" s="448"/>
      <c r="CD20" s="448"/>
      <c r="CE20" s="448"/>
      <c r="CF20" s="448"/>
      <c r="CG20" s="448"/>
      <c r="CH20" s="448"/>
      <c r="CJ20" s="448"/>
      <c r="CK20" s="448"/>
      <c r="CL20" s="448"/>
      <c r="CM20" s="448"/>
      <c r="CN20" s="448"/>
      <c r="CP20" s="448"/>
      <c r="CQ20" s="448"/>
      <c r="CR20" s="448"/>
      <c r="CS20" s="448"/>
      <c r="CU20" s="448"/>
      <c r="CV20" s="448"/>
      <c r="CX20" s="441">
        <f>SUMIF(Transport!B:B,'Feed + carbon calculator'!A20,Transport!M:M)</f>
        <v>0</v>
      </c>
      <c r="CY20" s="563">
        <f t="shared" si="88"/>
        <v>0</v>
      </c>
      <c r="DA20" s="448"/>
      <c r="DB20" s="448"/>
      <c r="DC20" s="448"/>
      <c r="DD20" s="434"/>
      <c r="DE20" s="566">
        <v>0</v>
      </c>
      <c r="DF20" s="564">
        <f t="shared" si="33"/>
        <v>0</v>
      </c>
      <c r="DI20" s="438">
        <f t="shared" si="89"/>
        <v>0</v>
      </c>
      <c r="DJ20" s="439">
        <f>IFERROR(DI20/$FV$20*1000,0)</f>
        <v>0</v>
      </c>
      <c r="DL20" s="438">
        <f t="shared" si="86"/>
        <v>0</v>
      </c>
      <c r="DM20" s="439">
        <f>IFERROR(DL20/$FV$20*1000,0)</f>
        <v>0</v>
      </c>
      <c r="DO20" s="438">
        <f>$DO$21*$N20</f>
        <v>0</v>
      </c>
      <c r="DP20" s="439">
        <f>IFERROR(DO20/$FV$20*1000,0)</f>
        <v>0</v>
      </c>
      <c r="DQ20" s="439"/>
      <c r="DR20" s="438">
        <f t="shared" si="90"/>
        <v>0</v>
      </c>
      <c r="DS20" s="439">
        <f>IFERROR(DR20/$FV$20*1000,0)</f>
        <v>0</v>
      </c>
      <c r="DU20" s="438">
        <f t="shared" si="91"/>
        <v>0</v>
      </c>
      <c r="DV20" s="439">
        <f>IFERROR(DU20/$FV$20*1000,0)</f>
        <v>0</v>
      </c>
      <c r="DX20" s="702">
        <f t="shared" si="92"/>
        <v>0</v>
      </c>
      <c r="DY20" s="703">
        <f>IFERROR(DX20/$FV$20*1000,0)</f>
        <v>0</v>
      </c>
      <c r="EA20" s="438"/>
      <c r="EB20" s="439"/>
      <c r="ED20" s="435">
        <f t="shared" si="87"/>
        <v>0</v>
      </c>
      <c r="EE20" s="434">
        <f>IFERROR(ED20/$FV$20*1000,0)</f>
        <v>0</v>
      </c>
      <c r="EG20" s="435">
        <f t="shared" si="70"/>
        <v>0</v>
      </c>
      <c r="EH20" s="434">
        <f>IFERROR(EG20/$FV$20*1000,0)</f>
        <v>0</v>
      </c>
      <c r="EJ20" s="570">
        <f t="shared" si="34"/>
        <v>0</v>
      </c>
      <c r="EK20" s="562">
        <f t="shared" si="35"/>
        <v>0</v>
      </c>
      <c r="EM20" s="435">
        <f t="shared" si="84"/>
        <v>0</v>
      </c>
      <c r="EN20" s="434">
        <f>IFERROR(EM20/$FV$20*1000,0)</f>
        <v>0</v>
      </c>
      <c r="EP20" s="450"/>
      <c r="EW20" s="450"/>
      <c r="FD20" s="443">
        <f t="shared" si="76"/>
        <v>0</v>
      </c>
      <c r="FE20" s="444">
        <f>IFERROR(FD20/$FV$20*1000,0)</f>
        <v>0</v>
      </c>
      <c r="FG20" s="402">
        <f t="shared" si="37"/>
        <v>0</v>
      </c>
      <c r="FH20" s="426">
        <f t="shared" si="38"/>
        <v>0</v>
      </c>
      <c r="FJ20" s="402">
        <v>0</v>
      </c>
      <c r="FK20" s="781">
        <f t="shared" si="39"/>
        <v>0</v>
      </c>
      <c r="FM20" s="402">
        <f t="shared" si="40"/>
        <v>0</v>
      </c>
      <c r="FN20" s="781">
        <f t="shared" si="41"/>
        <v>0</v>
      </c>
      <c r="FP20" s="560">
        <f t="shared" si="85"/>
        <v>0</v>
      </c>
      <c r="FQ20" s="563">
        <f t="shared" si="42"/>
        <v>0</v>
      </c>
      <c r="FS20" s="402">
        <f t="shared" si="43"/>
        <v>0</v>
      </c>
      <c r="FT20" s="426">
        <f t="shared" si="44"/>
        <v>0</v>
      </c>
      <c r="FV20" s="402">
        <f t="shared" si="45"/>
        <v>0</v>
      </c>
      <c r="FW20" s="402">
        <f t="shared" si="46"/>
        <v>0</v>
      </c>
    </row>
    <row r="21" spans="1:179" ht="15" thickBot="1" x14ac:dyDescent="0.4">
      <c r="A21" s="451"/>
      <c r="B21" s="451"/>
      <c r="C21" s="452">
        <f>SUM(C3:C20)</f>
        <v>91000</v>
      </c>
      <c r="D21" s="452">
        <f t="shared" ref="D21:N21" si="94">SUM(D3:D20)</f>
        <v>2.9287999999999998</v>
      </c>
      <c r="E21" s="452">
        <f t="shared" si="94"/>
        <v>6.1856</v>
      </c>
      <c r="F21" s="452">
        <f t="shared" si="94"/>
        <v>3.8980000000000006</v>
      </c>
      <c r="G21" s="452">
        <f t="shared" si="94"/>
        <v>1973</v>
      </c>
      <c r="H21" s="452">
        <f t="shared" si="94"/>
        <v>20217254.527006254</v>
      </c>
      <c r="I21" s="452">
        <f t="shared" si="94"/>
        <v>11584223.68</v>
      </c>
      <c r="J21" s="452">
        <f t="shared" si="94"/>
        <v>128070028.46222222</v>
      </c>
      <c r="K21" s="452">
        <f t="shared" si="94"/>
        <v>115198668.81777777</v>
      </c>
      <c r="L21" s="452">
        <f t="shared" si="94"/>
        <v>461052102.46399999</v>
      </c>
      <c r="M21" s="452">
        <f t="shared" si="94"/>
        <v>414715207.7439999</v>
      </c>
      <c r="N21" s="737">
        <f t="shared" si="94"/>
        <v>1</v>
      </c>
      <c r="O21" s="598">
        <f>FT21</f>
        <v>-16.636701806965991</v>
      </c>
      <c r="X21" s="372" t="s">
        <v>694</v>
      </c>
      <c r="Y21" s="453">
        <v>1</v>
      </c>
      <c r="Z21" s="372" t="s">
        <v>695</v>
      </c>
      <c r="AA21" s="453">
        <v>1</v>
      </c>
      <c r="CQ21" s="428"/>
      <c r="CR21" s="428">
        <f>SUM(CR3:CR20)</f>
        <v>50251.02133333333</v>
      </c>
      <c r="CS21" s="454">
        <f>IFERROR(CR21/$FV$21*1000,0)</f>
        <v>0.13011721424317813</v>
      </c>
      <c r="CU21" s="465">
        <f>SUM(CU3:CU20)</f>
        <v>588698.45546297368</v>
      </c>
      <c r="CV21" s="585">
        <f>IFERROR(CU21/$FV$21*1000,0)</f>
        <v>1.5243432077925221</v>
      </c>
      <c r="CX21" s="567">
        <f>SUM(CX3:CX20)</f>
        <v>159110.84429945055</v>
      </c>
      <c r="CY21" s="568">
        <f>IFERROR(CX21/$FV$21*1000,0)</f>
        <v>0.41199281659955972</v>
      </c>
      <c r="DB21" s="567">
        <f>SUM(DB3:DB20)</f>
        <v>0</v>
      </c>
      <c r="DC21" s="569">
        <f>IFERROR(DB21/$FV$21*1000,0)</f>
        <v>0</v>
      </c>
      <c r="DE21" s="567">
        <f>SUM(DE3:DE20)</f>
        <v>0</v>
      </c>
      <c r="DF21" s="568">
        <f>IFERROR(DE21/$FV$21*1000,0)</f>
        <v>0</v>
      </c>
      <c r="DI21" s="697">
        <f>SUM('Energy centre'!H18:H21)*DI24</f>
        <v>0</v>
      </c>
      <c r="DJ21" s="697"/>
      <c r="DL21" s="698">
        <f>SUM('Energy centre'!H42:H44)*DL24</f>
        <v>341408.104481132</v>
      </c>
      <c r="DM21" s="699">
        <f>IFERROR(DL21/$FV$21*1000,0)</f>
        <v>0.88402325557632699</v>
      </c>
      <c r="DO21" s="698">
        <f>SUM('Energy centre'!H58:H60)*DO24</f>
        <v>4301487.062382075</v>
      </c>
      <c r="DP21" s="699">
        <f>IFERROR(DO21/$FV$21*1000,0)</f>
        <v>11.138032597338663</v>
      </c>
      <c r="DQ21" s="455"/>
      <c r="DR21" s="698">
        <f>SUM('Energy centre'!H74:H76)*DR24</f>
        <v>0</v>
      </c>
      <c r="DS21" s="699">
        <f>IFERROR(DR21/$FV$21*1000,0)</f>
        <v>0</v>
      </c>
      <c r="DU21" s="698">
        <f>SUM('Energy centre'!H26:H28)*DU24</f>
        <v>272063.7</v>
      </c>
      <c r="DV21" s="699">
        <f>IFERROR(DU21/$FV$21*1000,0)</f>
        <v>0.70446669145029928</v>
      </c>
      <c r="DX21" s="698">
        <f>-('Energy centre'!AI19+'Energy centre'!AI26)</f>
        <v>-625407.83299398632</v>
      </c>
      <c r="DY21" s="699">
        <f>IFERROR(DX21/$FV$21*1000,0)</f>
        <v>-1.6193964388353714</v>
      </c>
      <c r="ED21" s="698">
        <f>'Energy centre'!N14*EnergyConversions!$B$11*GHG_Conversions!$D$6</f>
        <v>802998.70752818102</v>
      </c>
      <c r="EE21" s="699">
        <f>IFERROR(ED21/$FV$21*1000,0)</f>
        <v>2.0792404232216355</v>
      </c>
      <c r="EG21" s="698">
        <f>SUM(EG3:EG20)</f>
        <v>0</v>
      </c>
      <c r="EH21" s="699">
        <f>IFERROR(EG21/$FV$21*1000,0)</f>
        <v>0</v>
      </c>
      <c r="EJ21" s="571">
        <f>SUM(EJ3:EJ20)</f>
        <v>5092549.7413974022</v>
      </c>
      <c r="EK21" s="568">
        <f>IFERROR(EJ21/$FV$21*1000,0)</f>
        <v>13.186366528751556</v>
      </c>
      <c r="EM21" s="700">
        <f>SUM(Transport!M16:M24)</f>
        <v>359544.81094509427</v>
      </c>
      <c r="EN21" s="701">
        <f>EM21/$M$21*1000</f>
        <v>0.86696799208539799</v>
      </c>
      <c r="EP21" s="456">
        <f>150*8760</f>
        <v>1314000</v>
      </c>
      <c r="EQ21" s="457">
        <v>3.6</v>
      </c>
      <c r="ER21" s="458">
        <f>EP21*EQ21</f>
        <v>4730400</v>
      </c>
      <c r="ES21" s="459">
        <f>GHG_Emissions!$E$12</f>
        <v>57.513888888888893</v>
      </c>
      <c r="ET21" s="458">
        <f>ER21*ES21/1000</f>
        <v>272063.7</v>
      </c>
      <c r="EU21" s="460">
        <f>25%*M24</f>
        <v>0.25</v>
      </c>
      <c r="EV21" s="461">
        <f>ET21*EU21</f>
        <v>68015.925000000003</v>
      </c>
      <c r="EW21" s="456">
        <f>1000*365</f>
        <v>365000</v>
      </c>
      <c r="EX21" s="459">
        <f>EnergyConversions!$B$24</f>
        <v>10.480045115391288</v>
      </c>
      <c r="EY21" s="458">
        <f>EW21*EX21</f>
        <v>3825216.4671178204</v>
      </c>
      <c r="EZ21" s="459">
        <f>GHG_Emissions!$E$10+GHG_Emissions!$E$11</f>
        <v>65.586111111111109</v>
      </c>
      <c r="FA21" s="458">
        <f>EY21*EZ21/1000</f>
        <v>250881.07223644125</v>
      </c>
      <c r="FB21" s="462">
        <f>25%*M24</f>
        <v>0.25</v>
      </c>
      <c r="FC21" s="461">
        <f>FA21*FB21</f>
        <v>62720.268059110313</v>
      </c>
      <c r="FD21" s="463">
        <f>EV21+FC21</f>
        <v>130736.19305911032</v>
      </c>
      <c r="FE21" s="464">
        <f>FD21/$M$21*1000</f>
        <v>0.31524330581050847</v>
      </c>
      <c r="FG21" s="465">
        <f>SUM(FG3:FG20)</f>
        <v>490281.0040042047</v>
      </c>
      <c r="FH21" s="594">
        <f>IFERROR(FG21/$FV$21*1000,0)</f>
        <v>1.2695065044391185</v>
      </c>
      <c r="FJ21" s="465">
        <f>SUM(FJ3:FJ20)</f>
        <v>0</v>
      </c>
      <c r="FK21" s="568">
        <f>IFERROR(FJ21/$FV$21*1000,0)</f>
        <v>0</v>
      </c>
      <c r="FM21" s="465">
        <f>SUM(FM3:FM20)</f>
        <v>0</v>
      </c>
      <c r="FN21" s="568">
        <f>IFERROR(FM21/$FV$21*1000,0)</f>
        <v>0</v>
      </c>
      <c r="FP21" s="465">
        <f>SUM(FP3:FP20)</f>
        <v>-12755702.726384046</v>
      </c>
      <c r="FQ21" s="568">
        <f>IFERROR(FP21/$FV$21*1000,0)</f>
        <v>-33.028910864548749</v>
      </c>
      <c r="FS21" s="465">
        <f>SUM(FS3:FS20)</f>
        <v>-5934781.6772158109</v>
      </c>
      <c r="FT21" s="779">
        <f>CV21+CY21+DC21+DF21+EK21+FH21+FK21+FN21+FQ21</f>
        <v>-16.636701806965991</v>
      </c>
      <c r="FV21" s="780">
        <f>'Energy centre'!U13</f>
        <v>386198103.19192976</v>
      </c>
      <c r="FW21" s="780">
        <f>'Energy centre'!U14</f>
        <v>347384223.47414786</v>
      </c>
    </row>
    <row r="22" spans="1:179" ht="15.5" x14ac:dyDescent="0.35">
      <c r="A22" s="466"/>
      <c r="B22" s="466" t="s">
        <v>696</v>
      </c>
      <c r="C22" s="467">
        <f ca="1">SUMIF(B3:B20,"Waste/Residue",N3:N16)/$N$21</f>
        <v>0.60955070232207409</v>
      </c>
      <c r="D22" s="467"/>
      <c r="E22" s="467"/>
      <c r="F22" s="467"/>
      <c r="G22" s="468"/>
      <c r="H22" s="469"/>
      <c r="I22" s="470">
        <v>10868677.98</v>
      </c>
      <c r="J22" s="470"/>
      <c r="K22" s="470">
        <f>K21*B29</f>
        <v>128070028.46222222</v>
      </c>
      <c r="L22" s="470"/>
      <c r="M22" s="470">
        <f>M21*B29</f>
        <v>461052102.46399993</v>
      </c>
      <c r="N22" s="471">
        <f>SUM(N3:N20)</f>
        <v>1</v>
      </c>
      <c r="ED22" s="435"/>
      <c r="EM22" s="472"/>
      <c r="FV22" s="596">
        <f>FV21/3.6</f>
        <v>107277250.88664715</v>
      </c>
      <c r="FW22" s="596">
        <f>FW21/3.6</f>
        <v>96495617.631707743</v>
      </c>
    </row>
    <row r="23" spans="1:179" x14ac:dyDescent="0.35">
      <c r="I23" s="37">
        <f>I21/I22</f>
        <v>1.0658355782843794</v>
      </c>
      <c r="J23" s="474"/>
      <c r="K23" s="474"/>
      <c r="L23" s="474"/>
      <c r="M23" s="474"/>
      <c r="N23" s="474"/>
      <c r="CX23" s="252">
        <f>CX21*(1-78.5%)</f>
        <v>34208.831524381865</v>
      </c>
      <c r="CY23" s="184" t="s">
        <v>659</v>
      </c>
      <c r="DE23" s="475" t="s">
        <v>697</v>
      </c>
      <c r="DF23" s="453">
        <v>0</v>
      </c>
      <c r="EM23" s="476"/>
      <c r="FM23" s="475" t="s">
        <v>698</v>
      </c>
      <c r="FN23" s="453">
        <v>0</v>
      </c>
      <c r="FP23" s="475" t="s">
        <v>699</v>
      </c>
      <c r="FQ23" s="477">
        <v>1</v>
      </c>
      <c r="FS23" s="600">
        <f>-FW21*GHG_Emissions!E10/1000</f>
        <v>-19553871.956889257</v>
      </c>
      <c r="FV23" s="372" t="b">
        <f>SUM(FV3:FV16)=FV21</f>
        <v>1</v>
      </c>
      <c r="FW23" s="372" t="b">
        <f>SUM(FW3:FW16)=FW21</f>
        <v>1</v>
      </c>
    </row>
    <row r="24" spans="1:179" ht="14.5" customHeight="1" x14ac:dyDescent="0.35">
      <c r="A24" s="478" t="s">
        <v>726</v>
      </c>
      <c r="J24" s="474"/>
      <c r="K24" s="474"/>
      <c r="L24" s="479"/>
      <c r="M24" s="479">
        <v>1</v>
      </c>
      <c r="N24" s="474"/>
      <c r="CP24" s="372" t="s">
        <v>701</v>
      </c>
      <c r="CX24" s="252">
        <f>CX21-CX23</f>
        <v>124902.01277506868</v>
      </c>
      <c r="CY24" s="184" t="s">
        <v>660</v>
      </c>
      <c r="DE24" s="475" t="s">
        <v>700</v>
      </c>
      <c r="DF24" s="480">
        <v>111</v>
      </c>
      <c r="DI24" s="453">
        <v>0</v>
      </c>
      <c r="DL24" s="453">
        <v>1</v>
      </c>
      <c r="DO24" s="453">
        <v>1</v>
      </c>
      <c r="DR24" s="453">
        <v>1</v>
      </c>
      <c r="DU24" s="453">
        <v>1</v>
      </c>
      <c r="DX24" s="739" t="s">
        <v>738</v>
      </c>
      <c r="DY24" s="739"/>
      <c r="EA24" s="739" t="s">
        <v>751</v>
      </c>
      <c r="EB24" s="739"/>
      <c r="ED24" s="740">
        <f>'Energy centre'!P5</f>
        <v>5.0000000000000001E-3</v>
      </c>
      <c r="EE24" s="740"/>
      <c r="EG24" s="453">
        <v>0</v>
      </c>
      <c r="EM24" s="428"/>
      <c r="FS24" s="599">
        <f>FS21+FS23</f>
        <v>-25488653.634105068</v>
      </c>
      <c r="FV24" s="472">
        <f>FV21/3.6/1000</f>
        <v>107277.25088664715</v>
      </c>
      <c r="FW24" s="472">
        <f>FW21/3.6/1000</f>
        <v>96495.617631707748</v>
      </c>
    </row>
    <row r="25" spans="1:179" x14ac:dyDescent="0.35">
      <c r="A25" s="481" t="s">
        <v>115</v>
      </c>
      <c r="B25" s="482">
        <v>35.799999999999997</v>
      </c>
      <c r="H25" s="35" t="s">
        <v>758</v>
      </c>
      <c r="I25" s="41">
        <f>H21/8760</f>
        <v>2307.9057679230882</v>
      </c>
      <c r="CX25" s="540">
        <f>(CX23-CX21)/CX21</f>
        <v>-0.78500000000000003</v>
      </c>
      <c r="CY25" s="184" t="s">
        <v>661</v>
      </c>
      <c r="DX25" s="739"/>
      <c r="DY25" s="739"/>
      <c r="EA25" s="739"/>
      <c r="EB25" s="739"/>
      <c r="ED25" s="740"/>
      <c r="EE25" s="740"/>
    </row>
    <row r="26" spans="1:179" x14ac:dyDescent="0.35">
      <c r="A26" s="481" t="s">
        <v>114</v>
      </c>
      <c r="B26" s="482">
        <f>B25/3.6</f>
        <v>9.9444444444444429</v>
      </c>
      <c r="H26" s="35" t="s">
        <v>759</v>
      </c>
      <c r="I26" s="41">
        <f>I21/8760</f>
        <v>1322.3999634703196</v>
      </c>
      <c r="DX26" s="739"/>
      <c r="DY26" s="739"/>
      <c r="EA26" s="739"/>
      <c r="EB26" s="739"/>
      <c r="ED26" s="740"/>
      <c r="EE26" s="740"/>
      <c r="FS26" s="447" t="s">
        <v>702</v>
      </c>
    </row>
    <row r="27" spans="1:179" x14ac:dyDescent="0.35">
      <c r="A27" s="481" t="s">
        <v>116</v>
      </c>
      <c r="B27" s="482">
        <v>39.799999999999997</v>
      </c>
      <c r="H27" s="588" t="s">
        <v>760</v>
      </c>
      <c r="I27" s="428">
        <f>H21-I21</f>
        <v>8633030.8470062539</v>
      </c>
      <c r="DX27" s="739"/>
      <c r="DY27" s="739"/>
      <c r="EA27" s="739"/>
      <c r="EB27" s="739"/>
      <c r="ED27" s="740"/>
      <c r="EE27" s="740"/>
      <c r="FS27" s="372" t="s">
        <v>703</v>
      </c>
    </row>
    <row r="28" spans="1:179" x14ac:dyDescent="0.35">
      <c r="A28" s="481" t="s">
        <v>117</v>
      </c>
      <c r="B28" s="482">
        <f>B27/3.6</f>
        <v>11.055555555555555</v>
      </c>
      <c r="H28" s="588" t="s">
        <v>761</v>
      </c>
      <c r="I28" s="428">
        <f>'Energy centre'!U26*1000</f>
        <v>12755702.726384046</v>
      </c>
      <c r="DX28" s="739"/>
      <c r="DY28" s="739"/>
      <c r="EA28" s="739"/>
      <c r="EB28" s="739"/>
      <c r="ED28" s="740"/>
      <c r="EE28" s="740"/>
      <c r="FS28" s="372" t="s">
        <v>704</v>
      </c>
    </row>
    <row r="29" spans="1:179" x14ac:dyDescent="0.35">
      <c r="A29" s="481" t="s">
        <v>131</v>
      </c>
      <c r="B29" s="482">
        <f>B27/B25</f>
        <v>1.1117318435754191</v>
      </c>
      <c r="H29" s="572" t="s">
        <v>725</v>
      </c>
      <c r="I29" s="539">
        <f>I26/I25</f>
        <v>0.5729869831992157</v>
      </c>
      <c r="L29" s="472"/>
      <c r="M29" s="472"/>
      <c r="CP29" s="612"/>
      <c r="CQ29" s="612"/>
      <c r="CR29" s="612"/>
      <c r="CS29" s="612"/>
      <c r="CU29" s="611">
        <v>1462609</v>
      </c>
      <c r="CV29" s="612"/>
      <c r="CW29" s="612"/>
      <c r="CX29" s="611">
        <v>124330</v>
      </c>
      <c r="CY29" s="612"/>
      <c r="CZ29" s="612"/>
      <c r="DA29" s="612"/>
      <c r="DB29" s="612"/>
      <c r="DC29" s="612"/>
      <c r="DD29" s="612"/>
      <c r="DE29" s="612"/>
      <c r="DF29" s="612"/>
      <c r="DG29" s="612"/>
      <c r="DH29" s="612"/>
      <c r="DI29" s="612"/>
      <c r="DJ29" s="612"/>
      <c r="DK29" s="612"/>
      <c r="DL29" s="612"/>
      <c r="DM29" s="612"/>
      <c r="DN29" s="612"/>
      <c r="DO29" s="612"/>
      <c r="DP29" s="612"/>
      <c r="DQ29" s="612"/>
      <c r="DR29" s="612"/>
      <c r="DS29" s="612"/>
      <c r="DT29" s="612"/>
      <c r="DU29" s="612"/>
      <c r="DV29" s="612"/>
      <c r="DW29" s="612"/>
      <c r="DX29" s="612"/>
      <c r="DY29" s="612"/>
      <c r="DZ29" s="612"/>
      <c r="EA29" s="612"/>
      <c r="EB29" s="612"/>
      <c r="EC29" s="612"/>
      <c r="ED29" s="612"/>
      <c r="EE29" s="612"/>
      <c r="EF29" s="612"/>
      <c r="EG29" s="612"/>
      <c r="EH29" s="612"/>
      <c r="EI29" s="612"/>
      <c r="EJ29" s="611">
        <f>48973+1880+3941824+306944</f>
        <v>4299621</v>
      </c>
      <c r="EK29" s="612"/>
      <c r="EL29" s="612"/>
      <c r="EM29" s="611">
        <v>81168</v>
      </c>
      <c r="EN29" s="612"/>
      <c r="EO29" s="612"/>
      <c r="EP29" s="612"/>
      <c r="EQ29" s="612"/>
      <c r="ER29" s="612"/>
      <c r="ES29" s="612"/>
      <c r="ET29" s="612"/>
      <c r="EU29" s="612"/>
      <c r="EV29" s="612"/>
      <c r="EW29" s="612"/>
      <c r="EX29" s="612"/>
      <c r="EY29" s="612"/>
      <c r="EZ29" s="612"/>
      <c r="FA29" s="612"/>
      <c r="FB29" s="612"/>
      <c r="FC29" s="612"/>
      <c r="FD29" s="611">
        <v>283708</v>
      </c>
      <c r="FE29" s="612"/>
      <c r="FF29" s="612"/>
      <c r="FG29" s="611">
        <f>EM29+FD29</f>
        <v>364876</v>
      </c>
      <c r="FH29" s="612"/>
      <c r="FI29" s="612"/>
      <c r="FJ29" s="612"/>
      <c r="FK29" s="612"/>
      <c r="FL29" s="612"/>
      <c r="FM29" s="612"/>
      <c r="FN29" s="612"/>
      <c r="FO29" s="612"/>
      <c r="FP29" s="611">
        <f>-21672448</f>
        <v>-21672448</v>
      </c>
      <c r="FS29" s="372" t="s">
        <v>705</v>
      </c>
    </row>
    <row r="30" spans="1:179" x14ac:dyDescent="0.35">
      <c r="A30" s="481" t="s">
        <v>706</v>
      </c>
      <c r="B30" s="483">
        <f>1*(273.15+15)/(273.15)</f>
        <v>1.0549148819330039</v>
      </c>
    </row>
    <row r="31" spans="1:179" x14ac:dyDescent="0.35">
      <c r="A31" s="372" t="s">
        <v>707</v>
      </c>
      <c r="B31" s="477">
        <v>1</v>
      </c>
    </row>
    <row r="32" spans="1:179" x14ac:dyDescent="0.35">
      <c r="FU32" s="572" t="s">
        <v>752</v>
      </c>
      <c r="FV32" s="428">
        <f>FV21</f>
        <v>386198103.19192976</v>
      </c>
    </row>
    <row r="33" spans="4:178" x14ac:dyDescent="0.35">
      <c r="FU33" s="572" t="s">
        <v>753</v>
      </c>
      <c r="FV33" s="428">
        <f>'Energy centre'!H36*3.6</f>
        <v>72913305.286181107</v>
      </c>
    </row>
    <row r="34" spans="4:178" x14ac:dyDescent="0.35">
      <c r="FU34" s="572" t="s">
        <v>754</v>
      </c>
      <c r="FV34" s="428">
        <f>'Energy centre'!N14*EnergyConversions!B23*3.6</f>
        <v>1940693.9858890944</v>
      </c>
    </row>
    <row r="35" spans="4:178" x14ac:dyDescent="0.35">
      <c r="FU35" s="572" t="s">
        <v>755</v>
      </c>
      <c r="FV35" s="428">
        <f>FV32+FV33+FV34</f>
        <v>461052102.46399993</v>
      </c>
    </row>
    <row r="36" spans="4:178" x14ac:dyDescent="0.35">
      <c r="FV36" s="372" t="b">
        <f>L21=FV35</f>
        <v>1</v>
      </c>
    </row>
    <row r="37" spans="4:178" x14ac:dyDescent="0.35">
      <c r="D37" s="372" t="s">
        <v>824</v>
      </c>
    </row>
    <row r="38" spans="4:178" x14ac:dyDescent="0.35">
      <c r="D38" s="372" t="s">
        <v>787</v>
      </c>
      <c r="FS38" s="372">
        <v>-27639204.846638836</v>
      </c>
    </row>
    <row r="39" spans="4:178" x14ac:dyDescent="0.35">
      <c r="D39" s="372" t="s">
        <v>823</v>
      </c>
      <c r="FS39" s="428">
        <f>FS38-FS24</f>
        <v>-2150551.2125337683</v>
      </c>
    </row>
    <row r="40" spans="4:178" x14ac:dyDescent="0.35">
      <c r="D40" s="372" t="s">
        <v>788</v>
      </c>
      <c r="FS40" s="428">
        <f>FS24+FS39</f>
        <v>-27639204.846638836</v>
      </c>
    </row>
    <row r="41" spans="4:178" x14ac:dyDescent="0.35">
      <c r="D41" s="372" t="s">
        <v>98</v>
      </c>
    </row>
  </sheetData>
  <mergeCells count="37">
    <mergeCell ref="BB1:BG1"/>
    <mergeCell ref="S1:U1"/>
    <mergeCell ref="V1:AK1"/>
    <mergeCell ref="AM1:AQ1"/>
    <mergeCell ref="AR1:AV1"/>
    <mergeCell ref="AW1:BA1"/>
    <mergeCell ref="DI1:DJ1"/>
    <mergeCell ref="BH1:BM1"/>
    <mergeCell ref="BO1:BS1"/>
    <mergeCell ref="BT1:BX1"/>
    <mergeCell ref="BY1:CC1"/>
    <mergeCell ref="CD1:CH1"/>
    <mergeCell ref="CJ1:CN1"/>
    <mergeCell ref="CU1:CV1"/>
    <mergeCell ref="CX1:CY1"/>
    <mergeCell ref="DA1:DC1"/>
    <mergeCell ref="DE1:DF1"/>
    <mergeCell ref="CP1:CS1"/>
    <mergeCell ref="DL1:DM1"/>
    <mergeCell ref="DO1:DP1"/>
    <mergeCell ref="DU1:DV1"/>
    <mergeCell ref="DX1:DY1"/>
    <mergeCell ref="EA1:EB1"/>
    <mergeCell ref="DR1:DS1"/>
    <mergeCell ref="FM1:FN1"/>
    <mergeCell ref="FP1:FQ1"/>
    <mergeCell ref="FS1:FT1"/>
    <mergeCell ref="DX24:DY28"/>
    <mergeCell ref="EA24:EB28"/>
    <mergeCell ref="ED24:EE28"/>
    <mergeCell ref="EG1:EH1"/>
    <mergeCell ref="EJ1:EK1"/>
    <mergeCell ref="EM1:EN1"/>
    <mergeCell ref="EP1:FE1"/>
    <mergeCell ref="FG1:FH1"/>
    <mergeCell ref="FJ1:FK1"/>
    <mergeCell ref="ED1:EE1"/>
  </mergeCells>
  <pageMargins left="0.7" right="0.7" top="0.75" bottom="0.75" header="0.3" footer="0.3"/>
  <pageSetup paperSize="8" scale="10" orientation="landscape" r:id="rId1"/>
  <ignoredErrors>
    <ignoredError sqref="K10:K20 K3 K4:K9" 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E82A7-5E95-4728-8EE2-D2B7D10548E1}">
  <sheetPr>
    <tabColor theme="9"/>
    <pageSetUpPr fitToPage="1"/>
  </sheetPr>
  <dimension ref="B1:AZ87"/>
  <sheetViews>
    <sheetView zoomScale="79" zoomScaleNormal="130" workbookViewId="0">
      <selection activeCell="U11" sqref="U11"/>
    </sheetView>
  </sheetViews>
  <sheetFormatPr defaultColWidth="8.54296875" defaultRowHeight="14.5" x14ac:dyDescent="0.35"/>
  <cols>
    <col min="1" max="1" width="8.54296875" style="76" customWidth="1"/>
    <col min="2" max="2" width="11.54296875" style="76" customWidth="1"/>
    <col min="3" max="3" width="14.453125" style="76" customWidth="1"/>
    <col min="4" max="4" width="10.7265625" style="76" customWidth="1"/>
    <col min="5" max="5" width="17.1796875" style="76" customWidth="1"/>
    <col min="6" max="6" width="7.7265625" style="76" customWidth="1"/>
    <col min="7" max="7" width="7.81640625" style="76" customWidth="1"/>
    <col min="8" max="8" width="25.81640625" style="76" customWidth="1"/>
    <col min="9" max="9" width="14.7265625" style="76" customWidth="1"/>
    <col min="10" max="10" width="4.54296875" style="76" customWidth="1"/>
    <col min="11" max="11" width="19" style="76" customWidth="1"/>
    <col min="12" max="12" width="12.1796875" style="76" customWidth="1"/>
    <col min="13" max="13" width="10.54296875" style="76" bestFit="1" customWidth="1"/>
    <col min="14" max="14" width="15.54296875" style="76" customWidth="1"/>
    <col min="15" max="15" width="8.54296875" style="76"/>
    <col min="16" max="16" width="18.7265625" style="76" customWidth="1"/>
    <col min="17" max="18" width="8.54296875" style="76"/>
    <col min="19" max="19" width="17.1796875" style="76" customWidth="1"/>
    <col min="20" max="20" width="12.26953125" style="76" customWidth="1"/>
    <col min="21" max="21" width="19.1796875" style="76" customWidth="1"/>
    <col min="22" max="22" width="14.7265625" style="76" customWidth="1"/>
    <col min="23" max="23" width="18.54296875" style="76" customWidth="1"/>
    <col min="24" max="24" width="5.453125" style="76" customWidth="1"/>
    <col min="25" max="25" width="6.81640625" style="76" customWidth="1"/>
    <col min="26" max="26" width="71.26953125" style="76" customWidth="1"/>
    <col min="27" max="27" width="32.453125" style="76" customWidth="1"/>
    <col min="28" max="28" width="11.453125" style="76" customWidth="1"/>
    <col min="29" max="29" width="13.81640625" style="76" bestFit="1" customWidth="1"/>
    <col min="30" max="30" width="12" style="76" customWidth="1"/>
    <col min="31" max="31" width="12.54296875" style="76" customWidth="1"/>
    <col min="32" max="35" width="12.453125" style="76" customWidth="1"/>
    <col min="36" max="36" width="12.54296875" style="76" customWidth="1"/>
    <col min="37" max="38" width="12" style="76" bestFit="1" customWidth="1"/>
    <col min="39" max="39" width="10.1796875" style="76" customWidth="1"/>
    <col min="40" max="40" width="8.54296875" style="76" customWidth="1"/>
    <col min="41" max="41" width="45.453125" style="76" customWidth="1"/>
    <col min="42" max="42" width="15.54296875" style="76" customWidth="1"/>
    <col min="43" max="43" width="27.453125" style="76" customWidth="1"/>
    <col min="44" max="44" width="6" style="76" customWidth="1"/>
    <col min="45" max="45" width="12.54296875" style="76" customWidth="1"/>
    <col min="46" max="46" width="10.453125" style="76" customWidth="1"/>
    <col min="47" max="16384" width="8.54296875" style="76"/>
  </cols>
  <sheetData>
    <row r="1" spans="2:52" ht="34.5" customHeight="1" x14ac:dyDescent="0.35">
      <c r="AA1" s="28"/>
      <c r="AB1" s="28"/>
    </row>
    <row r="2" spans="2:52" ht="48" customHeight="1" x14ac:dyDescent="0.45">
      <c r="B2" s="704" t="s">
        <v>843</v>
      </c>
      <c r="C2" s="308"/>
      <c r="D2" s="301" t="s">
        <v>775</v>
      </c>
      <c r="E2" s="259"/>
      <c r="F2" s="259"/>
      <c r="G2" s="259"/>
      <c r="H2" s="259"/>
      <c r="I2" s="259"/>
      <c r="J2" s="259"/>
      <c r="K2" s="259"/>
      <c r="L2" s="259"/>
      <c r="M2" s="259"/>
      <c r="N2" s="260"/>
      <c r="O2" s="259"/>
      <c r="P2" s="259"/>
      <c r="Q2" s="259"/>
      <c r="R2" s="259"/>
      <c r="S2" s="259"/>
      <c r="T2" s="259"/>
      <c r="U2" s="259"/>
      <c r="V2" s="259"/>
      <c r="W2" s="259"/>
      <c r="X2" s="316"/>
      <c r="AA2" s="77"/>
      <c r="AB2" s="190" t="s">
        <v>84</v>
      </c>
      <c r="AC2" s="190" t="s">
        <v>664</v>
      </c>
      <c r="AD2" s="190" t="s">
        <v>665</v>
      </c>
      <c r="AE2" s="190" t="s">
        <v>666</v>
      </c>
      <c r="AF2" s="190" t="s">
        <v>667</v>
      </c>
      <c r="AG2" s="190" t="s">
        <v>668</v>
      </c>
      <c r="AH2" s="190" t="s">
        <v>669</v>
      </c>
      <c r="AI2" s="190" t="s">
        <v>670</v>
      </c>
      <c r="AJ2" s="49" t="s">
        <v>671</v>
      </c>
      <c r="AK2" s="42" t="s">
        <v>367</v>
      </c>
    </row>
    <row r="3" spans="2:52" ht="18.5" x14ac:dyDescent="0.45">
      <c r="B3" s="261" t="s">
        <v>68</v>
      </c>
      <c r="C3" s="262">
        <f>'Feed + carbon calculator'!I29</f>
        <v>0.5729869831992157</v>
      </c>
      <c r="D3" s="76" t="s">
        <v>128</v>
      </c>
      <c r="H3" s="28"/>
      <c r="I3" s="28"/>
      <c r="X3" s="277"/>
      <c r="AA3" s="188" t="s">
        <v>425</v>
      </c>
      <c r="AB3" s="48"/>
      <c r="AC3" s="181">
        <f>C12</f>
        <v>4285000</v>
      </c>
      <c r="AD3" s="181">
        <f>N18</f>
        <v>5733634</v>
      </c>
      <c r="AE3" s="181">
        <f>N10</f>
        <v>0</v>
      </c>
      <c r="AF3" s="181">
        <f>S25</f>
        <v>0</v>
      </c>
      <c r="AG3" s="181">
        <f>S10</f>
        <v>0</v>
      </c>
      <c r="AH3" s="181">
        <f>N22</f>
        <v>0</v>
      </c>
      <c r="AI3" s="181"/>
      <c r="AJ3" s="181">
        <f>SUM(AC3:AI3)</f>
        <v>10018634</v>
      </c>
      <c r="AK3" s="160" t="b">
        <f>AJ3=N32</f>
        <v>1</v>
      </c>
      <c r="AO3" s="610" t="s">
        <v>846</v>
      </c>
      <c r="AS3" s="610" t="s">
        <v>774</v>
      </c>
    </row>
    <row r="4" spans="2:52" ht="18.649999999999999" customHeight="1" x14ac:dyDescent="0.45">
      <c r="B4" s="356" t="s">
        <v>59</v>
      </c>
      <c r="C4" s="264" t="s">
        <v>657</v>
      </c>
      <c r="D4" s="705">
        <f>N34/8760</f>
        <v>1913.5833333333333</v>
      </c>
      <c r="E4" s="31" t="s">
        <v>678</v>
      </c>
      <c r="I4" s="28"/>
      <c r="M4" s="28"/>
      <c r="P4" s="265" t="s">
        <v>71</v>
      </c>
      <c r="W4" s="115"/>
      <c r="X4" s="320"/>
      <c r="Y4" s="28"/>
      <c r="AA4" s="189" t="s">
        <v>359</v>
      </c>
      <c r="AB4" s="177">
        <f>SUM(F18:F21)</f>
        <v>0.23655913978494622</v>
      </c>
      <c r="AC4" s="176">
        <f>MIN($H$17,AC3)</f>
        <v>0</v>
      </c>
      <c r="AD4" s="176">
        <f>MIN($H$17-AC4,AD3)</f>
        <v>0</v>
      </c>
      <c r="AE4" s="176">
        <f>MIN($H$17-SUM(AC4:AD4),AE3)</f>
        <v>0</v>
      </c>
      <c r="AF4" s="176">
        <f>MIN($H$17-SUM(AC4:AE4),AF3)</f>
        <v>0</v>
      </c>
      <c r="AG4" s="176">
        <f>MIN($H$17-SUM(AC4:AF4),AG3)</f>
        <v>0</v>
      </c>
      <c r="AH4" s="176">
        <f>MIN($H$17-SUM(AC4:AG4),AH3)</f>
        <v>0</v>
      </c>
      <c r="AI4" s="176">
        <f>H17-SUM(AC4:AG4)</f>
        <v>0</v>
      </c>
      <c r="AJ4" s="176">
        <f t="shared" ref="AJ4:AJ5" si="0">SUM(AC4:AI4)</f>
        <v>0</v>
      </c>
      <c r="AK4" s="160" t="b">
        <f>AJ4=H17</f>
        <v>1</v>
      </c>
      <c r="AO4" s="617" t="s">
        <v>336</v>
      </c>
      <c r="AP4" s="618">
        <f>E8*8760</f>
        <v>20217254.527006254</v>
      </c>
      <c r="AQ4" s="617" t="s">
        <v>337</v>
      </c>
      <c r="AS4" s="28">
        <v>0.18290000000000001</v>
      </c>
      <c r="AT4" s="28" t="s">
        <v>821</v>
      </c>
      <c r="AY4" s="76">
        <f>AS4/3.6*1000</f>
        <v>50.805555555555557</v>
      </c>
      <c r="AZ4" s="28" t="s">
        <v>776</v>
      </c>
    </row>
    <row r="5" spans="2:52" ht="16.5" x14ac:dyDescent="0.45">
      <c r="B5" s="261" t="s">
        <v>77</v>
      </c>
      <c r="C5" s="264">
        <v>1</v>
      </c>
      <c r="I5" s="46"/>
      <c r="P5" s="595">
        <v>5.0000000000000001E-3</v>
      </c>
      <c r="S5" s="283"/>
      <c r="U5" s="769" t="s">
        <v>677</v>
      </c>
      <c r="W5" s="769" t="s">
        <v>441</v>
      </c>
      <c r="X5" s="277"/>
      <c r="AA5" s="189" t="s">
        <v>356</v>
      </c>
      <c r="AB5" s="177">
        <f>SUM(F42:F44)</f>
        <v>1.836693089956797</v>
      </c>
      <c r="AC5" s="176">
        <f>MAX(0,MIN(AC3-AC4,$H$38))</f>
        <v>4285000</v>
      </c>
      <c r="AD5" s="176">
        <f>MAX(0,MIN(AD3-AD4,$H$38-AC5))</f>
        <v>4477929.4693396222</v>
      </c>
      <c r="AE5" s="176" cm="1">
        <f t="array" ref="AE5">MAX(0,MIN(AE3-AE4,$H$38-AC5:AD5))</f>
        <v>0</v>
      </c>
      <c r="AF5" s="176" cm="1">
        <f t="array" ref="AF5">MAX(0,MIN(AF3-AF4,$H$38-AC5:AE5))</f>
        <v>0</v>
      </c>
      <c r="AG5" s="176" cm="1">
        <f t="array" ref="AG5">MAX(0,MIN(AG3-AG4,$H$38-AC5:AF5))</f>
        <v>0</v>
      </c>
      <c r="AH5" s="176" cm="1">
        <f t="array" ref="AH5">MAX(0,MIN(AH3-AH4,$H$38-AC5:AG5))</f>
        <v>0</v>
      </c>
      <c r="AI5" s="176">
        <f>H38-SUM(AC5:AG5)</f>
        <v>0</v>
      </c>
      <c r="AJ5" s="176">
        <f t="shared" si="0"/>
        <v>8762929.4693396222</v>
      </c>
      <c r="AK5" s="160" t="b">
        <f>AJ5=H38</f>
        <v>1</v>
      </c>
      <c r="AN5" s="29"/>
      <c r="AO5" s="617" t="s">
        <v>99</v>
      </c>
      <c r="AP5" s="618">
        <f>U11</f>
        <v>107277250.88664715</v>
      </c>
      <c r="AQ5" s="617" t="s">
        <v>770</v>
      </c>
      <c r="AS5" s="28">
        <v>3.0210000000000001E-2</v>
      </c>
      <c r="AT5" s="28" t="s">
        <v>818</v>
      </c>
      <c r="AY5" s="76">
        <f>AS5/3.6*1000</f>
        <v>8.3916666666666675</v>
      </c>
      <c r="AZ5" s="28" t="s">
        <v>776</v>
      </c>
    </row>
    <row r="6" spans="2:52" ht="16.5" x14ac:dyDescent="0.45">
      <c r="B6" s="261"/>
      <c r="E6" s="565">
        <v>0</v>
      </c>
      <c r="F6" s="265" t="s">
        <v>71</v>
      </c>
      <c r="U6" s="770"/>
      <c r="W6" s="770"/>
      <c r="X6" s="277"/>
      <c r="AA6" s="189" t="s">
        <v>357</v>
      </c>
      <c r="AB6" s="177">
        <f>SUM(F58:F60)</f>
        <v>23.140960804146179</v>
      </c>
      <c r="AC6" s="176" cm="1">
        <f t="array" ref="AC6">MAX(0,MIN(AC3-AC4:AC5,$H$54))</f>
        <v>0</v>
      </c>
      <c r="AD6" s="176" cm="1">
        <f t="array" ref="AD6">MAX(0,MIN(AD3-AD4:AD5,$H$54-AC6))</f>
        <v>1255704.5306603778</v>
      </c>
      <c r="AE6" s="176" cm="1">
        <f t="array" ref="AE6">MAX(0,MIN(AE3-AE4:AE5,$H$54-AC6:AD6))</f>
        <v>0</v>
      </c>
      <c r="AF6" s="176" cm="1">
        <f t="array" ref="AF6">MAX(0,MIN(AF3-AF4:AF5,$H$54-AC6:AE6))</f>
        <v>0</v>
      </c>
      <c r="AG6" s="176" cm="1">
        <f t="array" ref="AG6">MAX(0,MIN(AG3-AG4:AG5,$H$54-AC6:AF6))</f>
        <v>0</v>
      </c>
      <c r="AH6" s="176" cm="1">
        <f t="array" ref="AH6">MAX(0,MIN(AH3-AH4:AH5,$H$54-AC6:AG6))</f>
        <v>0</v>
      </c>
      <c r="AI6" s="176">
        <f>H54-SUM(AC6:AG6)</f>
        <v>7507224.9386792444</v>
      </c>
      <c r="AJ6" s="176">
        <f t="shared" ref="AJ6:AJ11" si="1">SUM(AC6:AI6)</f>
        <v>8762929.4693396222</v>
      </c>
      <c r="AK6" s="160" t="b">
        <f>AJ6=H54</f>
        <v>1</v>
      </c>
      <c r="AO6" s="617" t="s">
        <v>100</v>
      </c>
      <c r="AP6" s="618">
        <f>'Feed + carbon calculator'!FS21</f>
        <v>-5934781.6772158109</v>
      </c>
      <c r="AQ6" s="617" t="s">
        <v>769</v>
      </c>
      <c r="AS6" s="644">
        <f>AS4+AS5</f>
        <v>0.21311000000000002</v>
      </c>
      <c r="AT6" s="28" t="s">
        <v>819</v>
      </c>
      <c r="AY6" s="76">
        <f>AY4+AY5</f>
        <v>59.197222222222223</v>
      </c>
      <c r="AZ6" s="28" t="s">
        <v>776</v>
      </c>
    </row>
    <row r="7" spans="2:52" ht="18.5" x14ac:dyDescent="0.35">
      <c r="B7" s="771" t="s">
        <v>133</v>
      </c>
      <c r="C7" s="169">
        <f>VLOOKUP(B7,Inputs!A4:F7,2,FALSE)</f>
        <v>489.15525114155253</v>
      </c>
      <c r="D7" s="85" t="s">
        <v>43</v>
      </c>
      <c r="E7" s="86">
        <f>E8*8760</f>
        <v>20217254.527006254</v>
      </c>
      <c r="K7" s="86">
        <f>K9/C3</f>
        <v>17019987.139008306</v>
      </c>
      <c r="M7" s="763" t="s">
        <v>244</v>
      </c>
      <c r="N7" s="763"/>
      <c r="P7" s="86">
        <f>K9-N14+N13</f>
        <v>9996036.8619915657</v>
      </c>
      <c r="R7" s="763" t="s">
        <v>252</v>
      </c>
      <c r="S7" s="763"/>
      <c r="U7" s="86">
        <f>P7*(100%-S12)-U17</f>
        <v>9996036.8619915657</v>
      </c>
      <c r="W7" s="282">
        <v>1</v>
      </c>
      <c r="X7" s="277"/>
      <c r="AA7" s="189" t="s">
        <v>742</v>
      </c>
      <c r="AB7" s="177">
        <f>SUM(F74:F76)</f>
        <v>23.140960804146179</v>
      </c>
      <c r="AC7" s="176" cm="1">
        <f t="array" ref="AC7">MAX(0,MIN(AC4-AC5:AC6,$H$54))</f>
        <v>0</v>
      </c>
      <c r="AD7" s="176" cm="1">
        <f t="array" ref="AD7">MAX(0,MIN(AD3-AD4:AD6,$H$70-AC7))</f>
        <v>0</v>
      </c>
      <c r="AE7" s="176" cm="1">
        <f t="array" ref="AE7">MAX(0,MIN(AE4-AE5:AE6,$H$54-AC7:AD7))</f>
        <v>0</v>
      </c>
      <c r="AF7" s="176" cm="1">
        <f t="array" ref="AF7">MAX(0,MIN(AF4-AF5:AF6,$H$54-AC7:AE7))</f>
        <v>0</v>
      </c>
      <c r="AG7" s="176" cm="1">
        <f t="array" ref="AG7">MAX(0,MIN(AG4-AG5:AG6,$H$54-AC7:AF7))</f>
        <v>0</v>
      </c>
      <c r="AH7" s="176" cm="1">
        <f t="array" ref="AH7">MAX(0,MIN(AH4-AH5:AH6,$H$54-AC7:AG7))</f>
        <v>0</v>
      </c>
      <c r="AI7" s="176">
        <f>H70-SUM(AC7:AG7)</f>
        <v>0</v>
      </c>
      <c r="AJ7" s="176">
        <f t="shared" si="1"/>
        <v>0</v>
      </c>
      <c r="AK7" s="160" t="b">
        <f>AJ7=H70</f>
        <v>1</v>
      </c>
      <c r="AO7" s="617" t="s">
        <v>101</v>
      </c>
      <c r="AP7" s="618">
        <f>AS6*AP5</f>
        <v>22861854.936453376</v>
      </c>
      <c r="AQ7" s="617" t="s">
        <v>769</v>
      </c>
      <c r="AS7" s="645">
        <f>7000*0.2686/1000</f>
        <v>1.8802000000000001</v>
      </c>
      <c r="AT7" s="76" t="s">
        <v>110</v>
      </c>
    </row>
    <row r="8" spans="2:52" ht="15.5" x14ac:dyDescent="0.35">
      <c r="B8" s="772"/>
      <c r="C8" s="163">
        <f>'Power requirements'!F31+'Power requirements'!F32+'Power requirements'!F30</f>
        <v>519.08333333333337</v>
      </c>
      <c r="E8" s="87">
        <f>'Feed + carbon calculator'!I25</f>
        <v>2307.9057679230882</v>
      </c>
      <c r="K8" s="87">
        <f>K7/8760</f>
        <v>1942.9209062794869</v>
      </c>
      <c r="M8" s="764" t="s">
        <v>113</v>
      </c>
      <c r="N8" s="167">
        <f>VLOOKUP(M8,Inputs!A1:F55,5,FALSE)</f>
        <v>0</v>
      </c>
      <c r="P8" s="87">
        <f>P7/8760</f>
        <v>1141.1000984008638</v>
      </c>
      <c r="R8" s="773" t="s">
        <v>232</v>
      </c>
      <c r="S8" s="167">
        <f>VLOOKUP(R8,Inputs!A1:F55,5,FALSE)</f>
        <v>0</v>
      </c>
      <c r="U8" s="87">
        <f>U7/8760/1</f>
        <v>1141.1000984008638</v>
      </c>
      <c r="W8" s="266">
        <f>8998*W7</f>
        <v>8998</v>
      </c>
      <c r="X8" s="277"/>
      <c r="AA8" s="186" t="s">
        <v>358</v>
      </c>
      <c r="AB8" s="178"/>
      <c r="AC8" s="179"/>
      <c r="AD8" s="179"/>
      <c r="AE8" s="179"/>
      <c r="AF8" s="179"/>
      <c r="AG8" s="179"/>
      <c r="AH8" s="179"/>
      <c r="AI8" s="176"/>
      <c r="AJ8" s="176">
        <f t="shared" si="1"/>
        <v>0</v>
      </c>
      <c r="AK8" s="175"/>
      <c r="AO8" s="617" t="s">
        <v>102</v>
      </c>
      <c r="AP8" s="619">
        <f>(AP6-AP7)/AP7</f>
        <v>-1.2595931823429061</v>
      </c>
      <c r="AQ8" s="617"/>
      <c r="AS8" s="97">
        <v>25</v>
      </c>
      <c r="AT8" s="76" t="s">
        <v>111</v>
      </c>
    </row>
    <row r="9" spans="2:52" x14ac:dyDescent="0.35">
      <c r="B9" s="261"/>
      <c r="D9" s="85" t="s">
        <v>72</v>
      </c>
      <c r="E9" s="88">
        <f>E7*C3</f>
        <v>11584223.68</v>
      </c>
      <c r="K9" s="88">
        <f>(E9-H13-H34)</f>
        <v>9752231.0848698206</v>
      </c>
      <c r="M9" s="765"/>
      <c r="N9" s="164">
        <f>N11/K7</f>
        <v>0.32682750900857099</v>
      </c>
      <c r="P9" s="88">
        <f>K9-N14</f>
        <v>9703469.9294454716</v>
      </c>
      <c r="R9" s="774"/>
      <c r="S9" s="164">
        <f>S11/P7</f>
        <v>0.16650598862121366</v>
      </c>
      <c r="U9" s="81">
        <f>P9*(100%-S12)-U17</f>
        <v>9703469.9294454716</v>
      </c>
      <c r="W9" s="263">
        <f>W8/EnergyConversions!B11</f>
        <v>12567.039106145252</v>
      </c>
      <c r="X9" s="277"/>
      <c r="Y9" s="29" t="s">
        <v>230</v>
      </c>
      <c r="AA9" s="186" t="s">
        <v>363</v>
      </c>
      <c r="AB9" s="178"/>
      <c r="AC9" s="179">
        <f>AC3-SUM(AC4:AC8)</f>
        <v>0</v>
      </c>
      <c r="AD9" s="179">
        <f>AD3-SUM(AD4:AD8)</f>
        <v>0</v>
      </c>
      <c r="AE9" s="179">
        <f>AE3-SUM(AE4:AE8)</f>
        <v>0</v>
      </c>
      <c r="AF9" s="179">
        <f>AF3-SUM(AF4:AF8)</f>
        <v>0</v>
      </c>
      <c r="AG9" s="179">
        <f>AG3-SUM(AG4:AG8)</f>
        <v>0</v>
      </c>
      <c r="AH9" s="179"/>
      <c r="AI9" s="179"/>
      <c r="AJ9" s="176">
        <f t="shared" si="1"/>
        <v>0</v>
      </c>
      <c r="AK9" s="175"/>
      <c r="AO9" s="617" t="s">
        <v>103</v>
      </c>
      <c r="AP9" s="620">
        <f>AP7-AP6</f>
        <v>28796636.613669187</v>
      </c>
      <c r="AQ9" s="617" t="s">
        <v>769</v>
      </c>
      <c r="AS9" s="97">
        <f>AS8/1000</f>
        <v>2.5000000000000001E-2</v>
      </c>
      <c r="AT9" s="76" t="s">
        <v>112</v>
      </c>
    </row>
    <row r="10" spans="2:52" ht="16.5" customHeight="1" x14ac:dyDescent="0.35">
      <c r="B10" s="261"/>
      <c r="E10" s="90">
        <f>E8*C3</f>
        <v>1322.3999634703196</v>
      </c>
      <c r="H10" s="91" t="s">
        <v>231</v>
      </c>
      <c r="K10" s="90">
        <f>K8*C3</f>
        <v>1113.2683886837692</v>
      </c>
      <c r="M10" s="77" t="s">
        <v>69</v>
      </c>
      <c r="N10" s="306">
        <f>K7*N8/1000</f>
        <v>0</v>
      </c>
      <c r="P10" s="90">
        <f>P9/8760</f>
        <v>1107.7020467403506</v>
      </c>
      <c r="R10" s="77" t="s">
        <v>69</v>
      </c>
      <c r="S10" s="306">
        <v>0</v>
      </c>
      <c r="U10" s="92">
        <f>U9/8760</f>
        <v>1107.7020467403506</v>
      </c>
      <c r="W10" s="77" t="s">
        <v>255</v>
      </c>
      <c r="X10" s="277"/>
      <c r="AA10" s="188" t="s">
        <v>426</v>
      </c>
      <c r="AB10" s="191"/>
      <c r="AC10" s="181">
        <f>C13</f>
        <v>4547170</v>
      </c>
      <c r="AD10" s="181">
        <f>N19</f>
        <v>0</v>
      </c>
      <c r="AE10" s="181">
        <f>N11</f>
        <v>5562600</v>
      </c>
      <c r="AF10" s="181">
        <f>S26</f>
        <v>3819360</v>
      </c>
      <c r="AG10" s="181">
        <f>S11</f>
        <v>1664400</v>
      </c>
      <c r="AH10" s="181">
        <f>N23</f>
        <v>1169460</v>
      </c>
      <c r="AI10" s="181"/>
      <c r="AJ10" s="182">
        <f t="shared" si="1"/>
        <v>16762990</v>
      </c>
      <c r="AK10" s="175" t="b">
        <f>AJ10=N34</f>
        <v>1</v>
      </c>
      <c r="AO10" s="614" t="s">
        <v>104</v>
      </c>
      <c r="AP10" s="615">
        <f>AP9/$AS$8</f>
        <v>1151865.4645467675</v>
      </c>
      <c r="AQ10" s="28" t="s">
        <v>105</v>
      </c>
      <c r="AS10" s="97">
        <v>11500</v>
      </c>
      <c r="AT10" s="28" t="s">
        <v>772</v>
      </c>
    </row>
    <row r="11" spans="2:52" ht="16" customHeight="1" x14ac:dyDescent="0.35">
      <c r="B11" s="261"/>
      <c r="D11" s="85" t="s">
        <v>73</v>
      </c>
      <c r="E11" s="309">
        <f>E9*EnergyConversions!$B$23</f>
        <v>128070028.46222222</v>
      </c>
      <c r="G11" s="44" t="s">
        <v>749</v>
      </c>
      <c r="H11" s="86">
        <f>H13/C3</f>
        <v>0</v>
      </c>
      <c r="K11" s="309">
        <f>K9*EnergyConversions!$B$23</f>
        <v>107816332.54939413</v>
      </c>
      <c r="M11" s="77" t="s">
        <v>70</v>
      </c>
      <c r="N11" s="305">
        <f>(HLOOKUP($C$4,'Power requirements'!$F$28:$G$38,6)*8760)</f>
        <v>5562600</v>
      </c>
      <c r="P11" s="309">
        <f>P9*EnergyConversions!$B$23</f>
        <v>107277250.88664715</v>
      </c>
      <c r="R11" s="77" t="s">
        <v>70</v>
      </c>
      <c r="S11" s="305">
        <f>(HLOOKUP($C$4,'Power requirements'!$F$28:$G$38,8)*8760)</f>
        <v>1664400</v>
      </c>
      <c r="U11" s="309">
        <f>U9*EnergyConversions!$B$23</f>
        <v>107277250.88664715</v>
      </c>
      <c r="W11" s="124">
        <f>U15/365/W8</f>
        <v>2.1154425395850396</v>
      </c>
      <c r="X11" s="277"/>
      <c r="AA11" s="186" t="s">
        <v>361</v>
      </c>
      <c r="AB11" s="180">
        <f>SUM(G42:G44)</f>
        <v>10.193646649260225</v>
      </c>
      <c r="AC11" s="176">
        <f>MIN($H$39,AC10)</f>
        <v>4547170</v>
      </c>
      <c r="AD11" s="176">
        <f>MIN($H$39-AC11,AD10)</f>
        <v>0</v>
      </c>
      <c r="AE11" s="176">
        <f>MIN($H$39-SUM(AC11:AD11),AE10)</f>
        <v>3177325</v>
      </c>
      <c r="AF11" s="176">
        <f>MIN($H$39-SUM(AC11:AE11),AF10)</f>
        <v>0</v>
      </c>
      <c r="AG11" s="176">
        <f>MIN($H$39-SUM(AC11:AF11),AG10)</f>
        <v>0</v>
      </c>
      <c r="AH11" s="176">
        <f>MIN($H$39-SUM(AC11:AG11),AH10)</f>
        <v>0</v>
      </c>
      <c r="AI11" s="192"/>
      <c r="AJ11" s="179">
        <f t="shared" si="1"/>
        <v>7724495</v>
      </c>
      <c r="AK11" s="175" t="b">
        <f>H39=AJ11</f>
        <v>1</v>
      </c>
      <c r="AO11" s="616" t="s">
        <v>106</v>
      </c>
      <c r="AP11" s="615">
        <f>AP10/1348</f>
        <v>854.49960277950117</v>
      </c>
      <c r="AQ11" s="28" t="s">
        <v>107</v>
      </c>
      <c r="AS11" s="97">
        <f>100000*0.25*15</f>
        <v>375000</v>
      </c>
      <c r="AT11" s="28" t="s">
        <v>773</v>
      </c>
    </row>
    <row r="12" spans="2:52" ht="18" customHeight="1" x14ac:dyDescent="0.35">
      <c r="B12" s="363" t="s">
        <v>580</v>
      </c>
      <c r="C12" s="306">
        <f>C7*8760</f>
        <v>4285000</v>
      </c>
      <c r="E12" s="310">
        <f>E11/8760</f>
        <v>14619.866262810756</v>
      </c>
      <c r="H12" s="158">
        <f>H11/8760</f>
        <v>0</v>
      </c>
      <c r="K12" s="310">
        <f>K11/8760</f>
        <v>12307.80051933723</v>
      </c>
      <c r="M12" s="77" t="s">
        <v>593</v>
      </c>
      <c r="N12" s="30">
        <v>0.97</v>
      </c>
      <c r="P12" s="310">
        <f>P11/8760</f>
        <v>12246.261516740542</v>
      </c>
      <c r="R12" s="77" t="s">
        <v>71</v>
      </c>
      <c r="S12" s="66">
        <v>0</v>
      </c>
      <c r="U12" s="310">
        <f>U11/8760</f>
        <v>12246.261516740542</v>
      </c>
      <c r="W12" s="197">
        <f>ROUNDUP(W11*7,0)</f>
        <v>15</v>
      </c>
      <c r="X12" s="277"/>
      <c r="AA12" s="186" t="s">
        <v>360</v>
      </c>
      <c r="AB12" s="180">
        <f>GHG_Emissions!E12</f>
        <v>57.513888888888893</v>
      </c>
      <c r="AC12" s="176">
        <f>MAX(0,MIN(AC10-AC11,$H$24))</f>
        <v>0</v>
      </c>
      <c r="AD12" s="176">
        <f>MAX(0,MIN(AD10-AD11,$H$24-AC12))</f>
        <v>0</v>
      </c>
      <c r="AE12" s="176">
        <f>MAX(0,MIN(AE10-AE11,$H$24-SUM(AC12:AD12)))</f>
        <v>1314000</v>
      </c>
      <c r="AF12" s="176">
        <f>MAX(0,MIN(AF10-AF11,$H$24-SUM(AC12:AE12)))</f>
        <v>0</v>
      </c>
      <c r="AG12" s="176">
        <f>MAX(0,MIN(AG10-AG11,$H$24-SUM(AC12:AF12)))</f>
        <v>0</v>
      </c>
      <c r="AH12" s="176">
        <f>MAX(0,MIN(AH10-AH11,$H$24-SUM(AC12:AG12)))</f>
        <v>0</v>
      </c>
      <c r="AI12" s="192"/>
      <c r="AJ12" s="179">
        <f t="shared" ref="AJ12:AJ13" si="2">SUM(AC12:AI12)</f>
        <v>1314000</v>
      </c>
      <c r="AK12" s="175" t="b">
        <f>AJ12=H24</f>
        <v>1</v>
      </c>
      <c r="AO12" s="614" t="s">
        <v>108</v>
      </c>
      <c r="AP12" s="615">
        <f>AP9/$AS$7/1000</f>
        <v>15315.73056784873</v>
      </c>
      <c r="AQ12" s="28" t="s">
        <v>108</v>
      </c>
      <c r="AS12" s="97">
        <v>87.64</v>
      </c>
      <c r="AT12" s="76" t="s">
        <v>170</v>
      </c>
    </row>
    <row r="13" spans="2:52" ht="18.5" x14ac:dyDescent="0.45">
      <c r="B13" s="363" t="s">
        <v>581</v>
      </c>
      <c r="C13" s="305">
        <f>(HLOOKUP($C$4,'Power requirements'!$F$28:$G$38,3)*8760)+(HLOOKUP($C$4,'Power requirements'!$F$28:$G$38,4)*8760)+(HLOOKUP($C$4,'Power requirements'!$F$28:$G$38,5)*8760)</f>
        <v>4547170</v>
      </c>
      <c r="G13" s="44" t="s">
        <v>745</v>
      </c>
      <c r="H13" s="88">
        <f>H15/EnergyConversions!$B$23</f>
        <v>0</v>
      </c>
      <c r="K13" s="285"/>
      <c r="M13" s="281" t="s">
        <v>595</v>
      </c>
      <c r="N13" s="280">
        <f>K9*(1-N12)</f>
        <v>292566.93254609487</v>
      </c>
      <c r="O13" s="328">
        <f>N13/8760</f>
        <v>33.398051660513111</v>
      </c>
      <c r="P13" s="285"/>
      <c r="S13" s="115"/>
      <c r="U13" s="538">
        <f>U11*3.6</f>
        <v>386198103.19192976</v>
      </c>
      <c r="V13" s="29" t="s">
        <v>744</v>
      </c>
      <c r="W13" s="198">
        <f>ROUNDUP(W11*365,0)</f>
        <v>773</v>
      </c>
      <c r="X13" s="277"/>
      <c r="AA13" s="186" t="s">
        <v>362</v>
      </c>
      <c r="AB13" s="180">
        <f>SUM(G58:G60)</f>
        <v>128.43233246301131</v>
      </c>
      <c r="AC13" s="176" cm="1">
        <f t="array" ref="AC13">MAX(0,MIN(AC10-AC11:AC12,$H$55))</f>
        <v>0</v>
      </c>
      <c r="AD13" s="176">
        <f>MAX(0,MIN((AD10-SUM(AD11:AD12)),($H$55-AC13)))</f>
        <v>0</v>
      </c>
      <c r="AE13" s="176">
        <f>MAX(0,MIN(AE10-SUM(AE11:AE12),$H$55-SUM(AC13:AD13)))</f>
        <v>1071275</v>
      </c>
      <c r="AF13" s="176">
        <f>MAX(0,MIN(AF10-SUM(AF11:AF12),$H$55-SUM(AC13:AE13)))</f>
        <v>3819360</v>
      </c>
      <c r="AG13" s="176">
        <f>MAX(0,MIN(AG10-SUM(AG11:AG12),$H$55-SUM(AC13:AF13)))</f>
        <v>1664400</v>
      </c>
      <c r="AH13" s="176">
        <f>MAX(0,MIN(AH10-SUM(AH11:AH12),$H$55-SUM(AC13:AG13)))</f>
        <v>1169460</v>
      </c>
      <c r="AI13" s="192"/>
      <c r="AJ13" s="179">
        <f t="shared" si="2"/>
        <v>7724495</v>
      </c>
      <c r="AK13" s="175" t="b">
        <f>AJ13=H55</f>
        <v>1</v>
      </c>
      <c r="AO13" s="614" t="s">
        <v>228</v>
      </c>
      <c r="AP13" s="615">
        <f>AP5/$AS$10</f>
        <v>9328.4565988388822</v>
      </c>
      <c r="AQ13" s="613" t="s">
        <v>109</v>
      </c>
      <c r="AR13" s="83"/>
      <c r="AS13" s="97">
        <v>2.9</v>
      </c>
      <c r="AT13" s="28" t="s">
        <v>771</v>
      </c>
    </row>
    <row r="14" spans="2:52" ht="20.149999999999999" customHeight="1" x14ac:dyDescent="0.35">
      <c r="B14" s="362" t="s">
        <v>625</v>
      </c>
      <c r="H14" s="159">
        <f>H13/8760</f>
        <v>0</v>
      </c>
      <c r="M14" s="281" t="s">
        <v>594</v>
      </c>
      <c r="N14" s="537">
        <f>K9*P5</f>
        <v>48761.155424349105</v>
      </c>
      <c r="O14" s="328">
        <f>N14/8760</f>
        <v>5.5663419434188475</v>
      </c>
      <c r="U14" s="538">
        <f>U13/EnergyConversions!B5</f>
        <v>347384223.47414786</v>
      </c>
      <c r="V14" s="558" t="s">
        <v>97</v>
      </c>
      <c r="X14" s="277"/>
      <c r="AA14" s="186" t="s">
        <v>743</v>
      </c>
      <c r="AB14" s="180">
        <f>SUM(G74:G76)</f>
        <v>128.43233246301131</v>
      </c>
      <c r="AC14" s="176" cm="1">
        <f t="array" ref="AC14">MAX(0,MIN(AC10-AC11:AC13,$H$71))</f>
        <v>0</v>
      </c>
      <c r="AD14" s="176">
        <f>MAX(0,MIN((AD10-SUM(AD11:AD13)),($H$71-AC14)))</f>
        <v>0</v>
      </c>
      <c r="AE14" s="176">
        <f>MAX(0,MIN(AE10-SUM(AE11:AE13),$H$71-SUM(AC14:AD14)))</f>
        <v>0</v>
      </c>
      <c r="AF14" s="176">
        <f>MAX(0,MIN(AF10-SUM(AF11:AF13),$H$71-SUM(AC14:AE14)))</f>
        <v>0</v>
      </c>
      <c r="AG14" s="176">
        <f>MAX(0,MIN(AG10-SUM(AG11:AG13),$H$71-SUM(AC14:AF14)))</f>
        <v>0</v>
      </c>
      <c r="AH14" s="176">
        <f>MAX(0,MIN(AH10-SUM(AH11:AH13),$H$71-SUM(AC14:AG14)))</f>
        <v>0</v>
      </c>
      <c r="AI14" s="192"/>
      <c r="AJ14" s="179">
        <f>SUM(AC14:AI14)</f>
        <v>0</v>
      </c>
      <c r="AK14" s="175" t="b">
        <f>AJ14=H71</f>
        <v>1</v>
      </c>
      <c r="AO14" s="614" t="s">
        <v>226</v>
      </c>
      <c r="AP14" s="615">
        <f>AP5*AS14/AS13/1000</f>
        <v>18459.085583598942</v>
      </c>
      <c r="AQ14" s="613" t="s">
        <v>109</v>
      </c>
      <c r="AS14" s="106">
        <v>0.499</v>
      </c>
      <c r="AT14" s="76" t="s">
        <v>227</v>
      </c>
    </row>
    <row r="15" spans="2:52" ht="19.399999999999999" customHeight="1" x14ac:dyDescent="0.35">
      <c r="B15" s="267"/>
      <c r="E15" s="366">
        <f>H16/400/0.95</f>
        <v>0</v>
      </c>
      <c r="H15" s="306">
        <f>H17/G17</f>
        <v>0</v>
      </c>
      <c r="I15" s="321">
        <f>H15/8760</f>
        <v>0</v>
      </c>
      <c r="K15" s="125"/>
      <c r="P15" s="268"/>
      <c r="U15" s="89">
        <f>U9*EnergyConversions!$B$11</f>
        <v>6947684.4694829574</v>
      </c>
      <c r="X15" s="277"/>
      <c r="AA15" s="186" t="s">
        <v>365</v>
      </c>
      <c r="AB15" s="178"/>
      <c r="AC15" s="179"/>
      <c r="AD15" s="179"/>
      <c r="AE15" s="179"/>
      <c r="AF15" s="179"/>
      <c r="AG15" s="179"/>
      <c r="AH15" s="179"/>
      <c r="AI15" s="193"/>
      <c r="AJ15" s="179">
        <f>SUM(AC15:AI15)</f>
        <v>0</v>
      </c>
    </row>
    <row r="16" spans="2:52" x14ac:dyDescent="0.35">
      <c r="B16" s="261"/>
      <c r="F16" s="95" t="s">
        <v>247</v>
      </c>
      <c r="G16" s="269">
        <v>0</v>
      </c>
      <c r="H16" s="157">
        <f>H15/8760/$C$5</f>
        <v>0</v>
      </c>
      <c r="I16" s="322"/>
      <c r="P16" s="79"/>
      <c r="X16" s="277"/>
      <c r="AA16" s="185" t="s">
        <v>424</v>
      </c>
      <c r="AB16" s="191"/>
      <c r="AC16" s="181">
        <f>(E9*0%)*EnergyConversions!B47</f>
        <v>0</v>
      </c>
      <c r="AD16" s="182"/>
      <c r="AE16" s="181">
        <f>N14*EnergyConversions!B47</f>
        <v>96400.804273938178</v>
      </c>
      <c r="AF16" s="182"/>
      <c r="AG16" s="182"/>
      <c r="AH16" s="182"/>
      <c r="AI16" s="182"/>
      <c r="AJ16" s="182">
        <f>SUM(AC16:AI16)</f>
        <v>96400.804273938178</v>
      </c>
      <c r="AK16" s="175"/>
      <c r="AS16" s="28">
        <v>0.1</v>
      </c>
      <c r="AT16" s="28" t="s">
        <v>848</v>
      </c>
    </row>
    <row r="17" spans="2:46" ht="18.649999999999999" customHeight="1" x14ac:dyDescent="0.45">
      <c r="B17" s="261"/>
      <c r="F17" s="98" t="s">
        <v>69</v>
      </c>
      <c r="G17" s="271">
        <v>0.93</v>
      </c>
      <c r="H17" s="306">
        <f>C12*G16</f>
        <v>0</v>
      </c>
      <c r="I17" s="322"/>
      <c r="M17" s="763" t="s">
        <v>81</v>
      </c>
      <c r="N17" s="763"/>
      <c r="R17" s="763" t="s">
        <v>254</v>
      </c>
      <c r="S17" s="763"/>
      <c r="U17" s="96">
        <f>60000*0</f>
        <v>0</v>
      </c>
      <c r="W17" s="270">
        <v>80</v>
      </c>
      <c r="X17" s="277"/>
      <c r="AC17" s="85"/>
      <c r="AD17" s="85"/>
      <c r="AE17" s="85"/>
      <c r="AF17" s="85"/>
      <c r="AG17" s="85"/>
      <c r="AH17" s="85"/>
      <c r="AI17" s="85"/>
      <c r="AJ17" s="85"/>
      <c r="AK17" s="175"/>
      <c r="AO17" s="82"/>
      <c r="AP17" s="83"/>
      <c r="AQ17" s="84"/>
      <c r="AS17" s="28">
        <f>AS16*GHG_Emissions!E46</f>
        <v>2.8000000000000003</v>
      </c>
      <c r="AT17" s="28" t="s">
        <v>847</v>
      </c>
    </row>
    <row r="18" spans="2:46" ht="18.5" x14ac:dyDescent="0.45">
      <c r="B18" s="261"/>
      <c r="E18" s="44" t="s">
        <v>371</v>
      </c>
      <c r="F18" s="161">
        <f>(0.00022*1000)/G17</f>
        <v>0.23655913978494622</v>
      </c>
      <c r="G18" s="349"/>
      <c r="H18" s="99">
        <f>F18*3600*$H$17/1000000</f>
        <v>0</v>
      </c>
      <c r="I18" s="361">
        <f>IFERROR(H18/($H$15*3.6)*1000,0)</f>
        <v>0</v>
      </c>
      <c r="K18" s="364">
        <f>SUM(H18:H21)</f>
        <v>0</v>
      </c>
      <c r="M18" s="77" t="s">
        <v>69</v>
      </c>
      <c r="N18" s="306">
        <f>Agraferm!AC4</f>
        <v>5733634</v>
      </c>
      <c r="R18" s="767" t="s">
        <v>256</v>
      </c>
      <c r="S18" s="767"/>
      <c r="U18" s="92">
        <f>U17/8760</f>
        <v>0</v>
      </c>
      <c r="W18" s="77" t="s">
        <v>257</v>
      </c>
      <c r="X18" s="277"/>
      <c r="AA18" s="184"/>
      <c r="AC18" s="194" t="s">
        <v>364</v>
      </c>
      <c r="AD18" s="194" t="s">
        <v>81</v>
      </c>
      <c r="AE18" s="194" t="s">
        <v>244</v>
      </c>
      <c r="AF18" s="194" t="s">
        <v>243</v>
      </c>
      <c r="AG18" s="195" t="s">
        <v>82</v>
      </c>
      <c r="AH18" s="195" t="s">
        <v>452</v>
      </c>
      <c r="AI18" s="194" t="s">
        <v>366</v>
      </c>
      <c r="AJ18" s="194" t="s">
        <v>75</v>
      </c>
      <c r="AK18" s="175"/>
      <c r="AO18" s="82"/>
      <c r="AP18" s="83"/>
      <c r="AQ18" s="84"/>
      <c r="AS18" s="28">
        <f>AS17*3.6/1000</f>
        <v>1.0080000000000002E-2</v>
      </c>
      <c r="AT18" s="28" t="s">
        <v>845</v>
      </c>
    </row>
    <row r="19" spans="2:46" ht="18.5" x14ac:dyDescent="0.45">
      <c r="B19" s="261"/>
      <c r="E19" s="44" t="s">
        <v>370</v>
      </c>
      <c r="F19" s="161"/>
      <c r="G19" s="349"/>
      <c r="H19" s="99">
        <f>F19*3600*$H$17/1000000</f>
        <v>0</v>
      </c>
      <c r="I19" s="361">
        <f>IFERROR(H19/($H$15*3.6)*1000,0)</f>
        <v>0</v>
      </c>
      <c r="M19" s="77" t="s">
        <v>70</v>
      </c>
      <c r="N19" s="305">
        <v>0</v>
      </c>
      <c r="R19" s="768"/>
      <c r="S19" s="768"/>
      <c r="U19" s="309">
        <f>U17*EnergyConversions!$B$23</f>
        <v>0</v>
      </c>
      <c r="W19" s="100">
        <f>U22/W17/52</f>
        <v>0</v>
      </c>
      <c r="X19" s="277"/>
      <c r="AA19" s="185" t="s">
        <v>427</v>
      </c>
      <c r="AB19" s="196"/>
      <c r="AC19" s="182">
        <f t="shared" ref="AC19:AJ19" si="3">SUM(AC20:AC25)</f>
        <v>28332.827605673549</v>
      </c>
      <c r="AD19" s="182">
        <f t="shared" si="3"/>
        <v>134218.04918130205</v>
      </c>
      <c r="AE19" s="182">
        <f t="shared" si="3"/>
        <v>0</v>
      </c>
      <c r="AF19" s="182">
        <f t="shared" si="3"/>
        <v>0</v>
      </c>
      <c r="AG19" s="182">
        <f t="shared" si="3"/>
        <v>0</v>
      </c>
      <c r="AH19" s="182">
        <f t="shared" si="3"/>
        <v>0</v>
      </c>
      <c r="AI19" s="182">
        <f t="shared" si="3"/>
        <v>625407.83299398632</v>
      </c>
      <c r="AJ19" s="182">
        <f t="shared" si="3"/>
        <v>787958.70978096186</v>
      </c>
      <c r="AK19" s="175"/>
      <c r="AL19" s="78"/>
      <c r="AM19" s="78"/>
      <c r="AO19" s="82"/>
      <c r="AP19" s="83"/>
      <c r="AQ19" s="84"/>
    </row>
    <row r="20" spans="2:46" ht="18.5" x14ac:dyDescent="0.45">
      <c r="B20" s="261"/>
      <c r="E20" s="44" t="s">
        <v>369</v>
      </c>
      <c r="F20" s="161"/>
      <c r="G20" s="349"/>
      <c r="H20" s="99">
        <f>F20*3600*$H$17/1000000</f>
        <v>0</v>
      </c>
      <c r="I20" s="361">
        <f>IFERROR(H20/($H$15*3.6)*1000,0)</f>
        <v>0</v>
      </c>
      <c r="U20" s="310">
        <f>U19/8760</f>
        <v>0</v>
      </c>
      <c r="X20" s="277"/>
      <c r="AA20" s="186" t="str">
        <f t="shared" ref="AA20:AA25" si="4">AA4</f>
        <v>Heat from boiler</v>
      </c>
      <c r="AB20" s="196"/>
      <c r="AC20" s="179">
        <f t="shared" ref="AC20:AH23" si="5">AC4*3600*$AB4/1000000</f>
        <v>0</v>
      </c>
      <c r="AD20" s="179">
        <f t="shared" si="5"/>
        <v>0</v>
      </c>
      <c r="AE20" s="179">
        <f t="shared" si="5"/>
        <v>0</v>
      </c>
      <c r="AF20" s="179">
        <f t="shared" si="5"/>
        <v>0</v>
      </c>
      <c r="AG20" s="179">
        <f t="shared" si="5"/>
        <v>0</v>
      </c>
      <c r="AH20" s="179">
        <f t="shared" si="5"/>
        <v>0</v>
      </c>
      <c r="AI20" s="179">
        <f>-AI4*3600*$AB4/1000000</f>
        <v>0</v>
      </c>
      <c r="AJ20" s="179">
        <f>SUM(AC20:AI20)</f>
        <v>0</v>
      </c>
      <c r="AK20" s="175"/>
      <c r="AO20" s="82"/>
      <c r="AP20" s="83"/>
      <c r="AQ20" s="84"/>
    </row>
    <row r="21" spans="2:46" ht="18.5" x14ac:dyDescent="0.35">
      <c r="B21" s="261"/>
      <c r="E21" s="44" t="s">
        <v>368</v>
      </c>
      <c r="F21" s="161">
        <f>2750/GHG_Conversions!$D$17/G17*J21</f>
        <v>0</v>
      </c>
      <c r="G21" s="349"/>
      <c r="H21" s="99">
        <f>F21*3600*$H$17/1000000</f>
        <v>0</v>
      </c>
      <c r="I21" s="361">
        <f>IFERROR(H21/($H$15*3.6)*1000,0)</f>
        <v>0</v>
      </c>
      <c r="J21" s="350">
        <v>0</v>
      </c>
      <c r="M21" s="766" t="s">
        <v>618</v>
      </c>
      <c r="N21" s="763"/>
      <c r="U21" s="94">
        <f>U19*3.6</f>
        <v>0</v>
      </c>
      <c r="X21" s="277"/>
      <c r="AA21" s="186" t="str">
        <f t="shared" si="4"/>
        <v>Heat from CHP 1</v>
      </c>
      <c r="AB21" s="196"/>
      <c r="AC21" s="179">
        <f t="shared" si="5"/>
        <v>28332.827605673549</v>
      </c>
      <c r="AD21" s="179">
        <f t="shared" si="5"/>
        <v>29608.495609139969</v>
      </c>
      <c r="AE21" s="179">
        <f t="shared" si="5"/>
        <v>0</v>
      </c>
      <c r="AF21" s="179">
        <f t="shared" si="5"/>
        <v>0</v>
      </c>
      <c r="AG21" s="179">
        <f t="shared" si="5"/>
        <v>0</v>
      </c>
      <c r="AH21" s="179">
        <f t="shared" si="5"/>
        <v>0</v>
      </c>
      <c r="AI21" s="179">
        <f>AI5*3600*$AB5/1000000</f>
        <v>0</v>
      </c>
      <c r="AJ21" s="179">
        <f>SUM(AC21:AI21)</f>
        <v>57941.323214813514</v>
      </c>
      <c r="AK21" s="175"/>
      <c r="AO21" s="82"/>
    </row>
    <row r="22" spans="2:46" ht="19.399999999999999" customHeight="1" x14ac:dyDescent="0.35">
      <c r="B22" s="261"/>
      <c r="F22" s="170"/>
      <c r="G22" s="170"/>
      <c r="H22" s="170"/>
      <c r="I22" s="322"/>
      <c r="M22" s="77" t="s">
        <v>69</v>
      </c>
      <c r="N22" s="306">
        <f>Agraferm!AC8/1000</f>
        <v>0</v>
      </c>
      <c r="R22" s="763" t="s">
        <v>243</v>
      </c>
      <c r="S22" s="763"/>
      <c r="U22" s="89">
        <f>U17*EnergyConversions!$B$11</f>
        <v>0</v>
      </c>
      <c r="X22" s="277"/>
      <c r="AA22" s="186" t="str">
        <f t="shared" si="4"/>
        <v>Heat from CHP 2</v>
      </c>
      <c r="AB22" s="196"/>
      <c r="AC22" s="179">
        <f t="shared" si="5"/>
        <v>0</v>
      </c>
      <c r="AD22" s="179">
        <f t="shared" si="5"/>
        <v>104609.55357216208</v>
      </c>
      <c r="AE22" s="179">
        <f t="shared" si="5"/>
        <v>0</v>
      </c>
      <c r="AF22" s="179">
        <f t="shared" si="5"/>
        <v>0</v>
      </c>
      <c r="AG22" s="179">
        <f t="shared" si="5"/>
        <v>0</v>
      </c>
      <c r="AH22" s="179">
        <f t="shared" si="5"/>
        <v>0</v>
      </c>
      <c r="AI22" s="179">
        <f>AI6*3600*$AB6/1000000</f>
        <v>625407.83299398632</v>
      </c>
      <c r="AJ22" s="179">
        <f t="shared" ref="AJ22" si="6">SUM(AC22:AI22)</f>
        <v>730017.38656614837</v>
      </c>
      <c r="AK22" s="175"/>
      <c r="AL22" s="80">
        <f>AI6*3600*AB6/1000000</f>
        <v>625407.83299398632</v>
      </c>
      <c r="AM22" s="80"/>
      <c r="AO22" s="82"/>
    </row>
    <row r="23" spans="2:46" ht="18.5" x14ac:dyDescent="0.45">
      <c r="B23" s="261"/>
      <c r="H23" s="91" t="s">
        <v>251</v>
      </c>
      <c r="I23" s="322"/>
      <c r="M23" s="77" t="s">
        <v>70</v>
      </c>
      <c r="N23" s="305">
        <f>(HLOOKUP($C$4,'Power requirements'!$F$28:$G$38,9)*8760)+(HLOOKUP($C$4,'Power requirements'!$F$28:$G$38,10)*8760)+(HLOOKUP($C$4,'Power requirements'!$F$28:$G$38,11)*8760)</f>
        <v>1169460</v>
      </c>
      <c r="R23" s="764" t="s">
        <v>578</v>
      </c>
      <c r="S23" s="168">
        <v>0</v>
      </c>
      <c r="X23" s="277"/>
      <c r="AA23" s="186" t="str">
        <f t="shared" si="4"/>
        <v>Heat from CHP 3</v>
      </c>
      <c r="AB23" s="196"/>
      <c r="AC23" s="179">
        <f>AC7*3600*$AB7/1000000</f>
        <v>0</v>
      </c>
      <c r="AD23" s="179">
        <f>AD7*3600*$AB7/1000000</f>
        <v>0</v>
      </c>
      <c r="AE23" s="179">
        <f>AE7*3600*$AB7/1000000</f>
        <v>0</v>
      </c>
      <c r="AF23" s="179">
        <f t="shared" si="5"/>
        <v>0</v>
      </c>
      <c r="AG23" s="179">
        <f t="shared" si="5"/>
        <v>0</v>
      </c>
      <c r="AH23" s="179">
        <f t="shared" si="5"/>
        <v>0</v>
      </c>
      <c r="AI23" s="179">
        <f>AI7*3600*$AB7/1000000</f>
        <v>0</v>
      </c>
      <c r="AJ23" s="179">
        <f t="shared" ref="AJ23" si="7">SUM(AC23:AI23)</f>
        <v>0</v>
      </c>
      <c r="AO23" s="82"/>
      <c r="AP23" s="104"/>
      <c r="AQ23" s="84"/>
      <c r="AR23" s="122"/>
    </row>
    <row r="24" spans="2:46" ht="18.5" x14ac:dyDescent="0.45">
      <c r="B24" s="261"/>
      <c r="F24" s="95" t="s">
        <v>259</v>
      </c>
      <c r="G24" s="276">
        <v>0.25</v>
      </c>
      <c r="H24" s="305">
        <f>H25*G24*8760</f>
        <v>1314000</v>
      </c>
      <c r="I24" s="355">
        <f>H24/8760</f>
        <v>150</v>
      </c>
      <c r="R24" s="765"/>
      <c r="S24" s="165">
        <f>IFERROR(S26/P26,0)</f>
        <v>276.96694378840391</v>
      </c>
      <c r="X24" s="277"/>
      <c r="AA24" s="186" t="str">
        <f t="shared" si="4"/>
        <v>Heat from other</v>
      </c>
      <c r="AB24" s="196"/>
      <c r="AC24" s="179">
        <f t="shared" ref="AC24:AH25" si="8">AC8*3600*$AB8/1000000</f>
        <v>0</v>
      </c>
      <c r="AD24" s="179">
        <f t="shared" si="8"/>
        <v>0</v>
      </c>
      <c r="AE24" s="179">
        <f t="shared" si="8"/>
        <v>0</v>
      </c>
      <c r="AF24" s="179">
        <f t="shared" si="8"/>
        <v>0</v>
      </c>
      <c r="AG24" s="179">
        <f t="shared" si="8"/>
        <v>0</v>
      </c>
      <c r="AH24" s="179">
        <f t="shared" si="8"/>
        <v>0</v>
      </c>
      <c r="AI24" s="179">
        <f>-AI8*3600*$AB8/1000000</f>
        <v>0</v>
      </c>
      <c r="AJ24" s="179">
        <f>SUM(AC24:AI24)</f>
        <v>0</v>
      </c>
      <c r="AK24" s="175"/>
      <c r="AO24" s="82"/>
      <c r="AP24" s="105"/>
    </row>
    <row r="25" spans="2:46" ht="18.5" x14ac:dyDescent="0.45">
      <c r="B25" s="261"/>
      <c r="G25" s="44" t="s">
        <v>748</v>
      </c>
      <c r="H25" s="360">
        <v>600</v>
      </c>
      <c r="P25" s="125">
        <f>K7-K9-N13</f>
        <v>6975189.1215923904</v>
      </c>
      <c r="R25" s="77" t="s">
        <v>69</v>
      </c>
      <c r="S25" s="306">
        <v>0</v>
      </c>
      <c r="U25" s="75" t="s">
        <v>676</v>
      </c>
      <c r="W25" s="75" t="s">
        <v>442</v>
      </c>
      <c r="X25" s="277"/>
      <c r="AA25" s="186" t="str">
        <f t="shared" si="4"/>
        <v>Unmet requirement</v>
      </c>
      <c r="AB25" s="196"/>
      <c r="AC25" s="179">
        <f t="shared" si="8"/>
        <v>0</v>
      </c>
      <c r="AD25" s="179">
        <f t="shared" si="8"/>
        <v>0</v>
      </c>
      <c r="AE25" s="179">
        <f t="shared" si="8"/>
        <v>0</v>
      </c>
      <c r="AF25" s="179">
        <f t="shared" si="8"/>
        <v>0</v>
      </c>
      <c r="AG25" s="179">
        <f t="shared" si="8"/>
        <v>0</v>
      </c>
      <c r="AH25" s="179">
        <f t="shared" si="8"/>
        <v>0</v>
      </c>
      <c r="AI25" s="179">
        <f>-AI9*3600*$AB9/1000000</f>
        <v>0</v>
      </c>
      <c r="AJ25" s="179">
        <f>SUM(AC25:AI25)</f>
        <v>0</v>
      </c>
      <c r="AK25" s="175"/>
      <c r="AO25" s="82"/>
      <c r="AP25" s="104"/>
      <c r="AQ25" s="84"/>
    </row>
    <row r="26" spans="2:46" ht="18.5" x14ac:dyDescent="0.45">
      <c r="B26" s="261"/>
      <c r="E26" s="44" t="s">
        <v>371</v>
      </c>
      <c r="F26" s="166"/>
      <c r="G26" s="162"/>
      <c r="H26" s="99"/>
      <c r="I26" s="361">
        <f>H26/($H$24*3.6)*1000</f>
        <v>0</v>
      </c>
      <c r="K26" s="364">
        <f>SUM(H26:H29)</f>
        <v>272063.7</v>
      </c>
      <c r="P26" s="107">
        <f>P25*EnergyConversions!$B$47/1000*P27</f>
        <v>13789.948893388157</v>
      </c>
      <c r="R26" s="77" t="s">
        <v>70</v>
      </c>
      <c r="S26" s="305">
        <f>(HLOOKUP($C$4,'Power requirements'!$F$28:$G$38,7)*8760)*P27</f>
        <v>3819360</v>
      </c>
      <c r="U26" s="107">
        <f>P26*(1-S27)</f>
        <v>12755.702726384046</v>
      </c>
      <c r="W26" s="266">
        <v>27660</v>
      </c>
      <c r="X26" s="277"/>
      <c r="AA26" s="185" t="s">
        <v>428</v>
      </c>
      <c r="AB26" s="196"/>
      <c r="AC26" s="182">
        <f t="shared" ref="AC26:AJ26" si="9">SUM(AC27:AC31)</f>
        <v>166868.07924281983</v>
      </c>
      <c r="AD26" s="182">
        <f t="shared" si="9"/>
        <v>0</v>
      </c>
      <c r="AE26" s="182">
        <f t="shared" si="9"/>
        <v>883973.25107702345</v>
      </c>
      <c r="AF26" s="182">
        <f t="shared" si="9"/>
        <v>1765905.5279373366</v>
      </c>
      <c r="AG26" s="182">
        <f t="shared" si="9"/>
        <v>769545.98694516963</v>
      </c>
      <c r="AH26" s="182">
        <f t="shared" si="9"/>
        <v>540707.31187989551</v>
      </c>
      <c r="AI26" s="182">
        <f t="shared" si="9"/>
        <v>0</v>
      </c>
      <c r="AJ26" s="182">
        <f t="shared" si="9"/>
        <v>4127000.1570822448</v>
      </c>
      <c r="AK26" s="175"/>
      <c r="AO26" s="82"/>
      <c r="AP26" s="105"/>
    </row>
    <row r="27" spans="2:46" ht="18.649999999999999" customHeight="1" x14ac:dyDescent="0.35">
      <c r="B27" s="261"/>
      <c r="E27" s="44" t="s">
        <v>370</v>
      </c>
      <c r="F27" s="166"/>
      <c r="G27" s="352">
        <f>GHG_Emissions!E12</f>
        <v>57.513888888888893</v>
      </c>
      <c r="H27" s="99">
        <f>$H$24*3600*G27/1000000</f>
        <v>272063.7</v>
      </c>
      <c r="I27" s="361">
        <f t="shared" ref="I27:I29" si="10">H27/($H$24*3.6)*1000</f>
        <v>57.513888888888893</v>
      </c>
      <c r="O27" s="77" t="s">
        <v>77</v>
      </c>
      <c r="P27" s="272">
        <v>1</v>
      </c>
      <c r="R27" s="77" t="s">
        <v>71</v>
      </c>
      <c r="S27" s="365">
        <v>7.4999999999999997E-2</v>
      </c>
      <c r="U27" s="329">
        <f>U26/365</f>
        <v>34.947130757216563</v>
      </c>
      <c r="W27" s="77" t="s">
        <v>255</v>
      </c>
      <c r="X27" s="277"/>
      <c r="AA27" s="186" t="str">
        <f>AA11</f>
        <v>Power from CHP 1</v>
      </c>
      <c r="AB27" s="196"/>
      <c r="AC27" s="179">
        <f t="shared" ref="AC27:AH30" si="11">AC11*3600*$AB11/1000000</f>
        <v>166868.07924281983</v>
      </c>
      <c r="AD27" s="179">
        <f t="shared" si="11"/>
        <v>0</v>
      </c>
      <c r="AE27" s="179">
        <f t="shared" si="11"/>
        <v>116598.70202349868</v>
      </c>
      <c r="AF27" s="179">
        <f t="shared" si="11"/>
        <v>0</v>
      </c>
      <c r="AG27" s="179">
        <f t="shared" si="11"/>
        <v>0</v>
      </c>
      <c r="AH27" s="179">
        <f t="shared" si="11"/>
        <v>0</v>
      </c>
      <c r="AI27" s="179">
        <f>-AI11*3600*$AB11/1000000</f>
        <v>0</v>
      </c>
      <c r="AJ27" s="179">
        <f t="shared" ref="AJ27:AJ32" si="12">SUM(AC27:AI27)</f>
        <v>283466.78126631852</v>
      </c>
      <c r="AK27" s="175">
        <f>(AJ21+AJ27)</f>
        <v>341408.104481132</v>
      </c>
      <c r="AL27" s="76" t="b">
        <f>AK27=SUM(H42:H45)</f>
        <v>1</v>
      </c>
    </row>
    <row r="28" spans="2:46" ht="20.149999999999999" customHeight="1" x14ac:dyDescent="0.35">
      <c r="B28" s="261"/>
      <c r="E28" s="44" t="s">
        <v>369</v>
      </c>
      <c r="F28" s="166"/>
      <c r="G28" s="162"/>
      <c r="H28" s="99"/>
      <c r="I28" s="361">
        <f t="shared" si="10"/>
        <v>0</v>
      </c>
      <c r="J28" s="108"/>
      <c r="N28" s="101"/>
      <c r="S28" s="115"/>
      <c r="U28" s="109"/>
      <c r="W28" s="93">
        <f>U26*1000/W26/52</f>
        <v>8.8684734456755425</v>
      </c>
      <c r="X28" s="277"/>
      <c r="AA28" s="186" t="str">
        <f>AA12</f>
        <v>Imported power</v>
      </c>
      <c r="AB28" s="196"/>
      <c r="AC28" s="179">
        <f t="shared" si="11"/>
        <v>0</v>
      </c>
      <c r="AD28" s="179">
        <f t="shared" si="11"/>
        <v>0</v>
      </c>
      <c r="AE28" s="179">
        <f t="shared" si="11"/>
        <v>272063.7</v>
      </c>
      <c r="AF28" s="179">
        <f t="shared" si="11"/>
        <v>0</v>
      </c>
      <c r="AG28" s="179">
        <f t="shared" si="11"/>
        <v>0</v>
      </c>
      <c r="AH28" s="179">
        <f t="shared" si="11"/>
        <v>0</v>
      </c>
      <c r="AI28" s="179">
        <f>-AI12*3600*$AB12/1000000</f>
        <v>0</v>
      </c>
      <c r="AJ28" s="179">
        <f t="shared" si="12"/>
        <v>272063.7</v>
      </c>
      <c r="AK28" s="175">
        <f>(AJ28)</f>
        <v>272063.7</v>
      </c>
      <c r="AL28" s="76" t="b">
        <f>AK28=SUM(H26:H29)</f>
        <v>1</v>
      </c>
    </row>
    <row r="29" spans="2:46" ht="19.5" customHeight="1" x14ac:dyDescent="0.35">
      <c r="B29" s="261"/>
      <c r="E29" s="44" t="s">
        <v>368</v>
      </c>
      <c r="F29" s="166"/>
      <c r="G29" s="162"/>
      <c r="H29" s="99"/>
      <c r="I29" s="361">
        <f t="shared" si="10"/>
        <v>0</v>
      </c>
      <c r="N29" s="115"/>
      <c r="P29" s="555"/>
      <c r="W29" s="124">
        <f>W28/7</f>
        <v>1.266924777953649</v>
      </c>
      <c r="X29" s="277"/>
      <c r="AA29" s="186" t="str">
        <f>AA13</f>
        <v>Power from CHP 2</v>
      </c>
      <c r="AB29" s="196"/>
      <c r="AC29" s="179">
        <f t="shared" si="11"/>
        <v>0</v>
      </c>
      <c r="AD29" s="179">
        <f t="shared" si="11"/>
        <v>0</v>
      </c>
      <c r="AE29" s="179">
        <f t="shared" si="11"/>
        <v>495310.84905352478</v>
      </c>
      <c r="AF29" s="179">
        <f t="shared" si="11"/>
        <v>1765905.5279373366</v>
      </c>
      <c r="AG29" s="179">
        <f t="shared" si="11"/>
        <v>769545.98694516963</v>
      </c>
      <c r="AH29" s="179">
        <f t="shared" si="11"/>
        <v>540707.31187989551</v>
      </c>
      <c r="AI29" s="179">
        <f>-AI13*3600*$AB13/1000000</f>
        <v>0</v>
      </c>
      <c r="AJ29" s="179">
        <f t="shared" si="12"/>
        <v>3571469.6758159264</v>
      </c>
      <c r="AK29" s="175">
        <f>(AJ22+AJ29)</f>
        <v>4301487.062382075</v>
      </c>
      <c r="AL29" s="76" t="b">
        <f>AK29=SUM(H58:H61)</f>
        <v>1</v>
      </c>
      <c r="AO29" s="110"/>
      <c r="AP29"/>
      <c r="AQ29"/>
      <c r="AR29"/>
    </row>
    <row r="30" spans="2:46" ht="18.649999999999999" customHeight="1" x14ac:dyDescent="0.45">
      <c r="B30" s="261"/>
      <c r="I30" s="322"/>
      <c r="U30" s="367"/>
      <c r="W30" s="198">
        <f>W28*52</f>
        <v>461.1606191751282</v>
      </c>
      <c r="X30" s="277"/>
      <c r="AA30" s="186" t="str">
        <f>AA14</f>
        <v>Power from CHP 3</v>
      </c>
      <c r="AB30" s="196"/>
      <c r="AC30" s="179">
        <f t="shared" si="11"/>
        <v>0</v>
      </c>
      <c r="AD30" s="179">
        <f>AD14*3600*$AB14/1000000</f>
        <v>0</v>
      </c>
      <c r="AE30" s="179">
        <f t="shared" si="11"/>
        <v>0</v>
      </c>
      <c r="AF30" s="179">
        <f t="shared" si="11"/>
        <v>0</v>
      </c>
      <c r="AG30" s="179">
        <f t="shared" si="11"/>
        <v>0</v>
      </c>
      <c r="AH30" s="179">
        <f t="shared" si="11"/>
        <v>0</v>
      </c>
      <c r="AI30" s="179">
        <f>-AI14*3600*$AB14/1000000</f>
        <v>0</v>
      </c>
      <c r="AJ30" s="179">
        <f t="shared" si="12"/>
        <v>0</v>
      </c>
      <c r="AO30" s="112"/>
      <c r="AP30" s="113"/>
      <c r="AQ30" s="114"/>
      <c r="AR30"/>
    </row>
    <row r="31" spans="2:46" ht="18.5" x14ac:dyDescent="0.45">
      <c r="B31" s="261"/>
      <c r="H31" s="75" t="s">
        <v>740</v>
      </c>
      <c r="I31" s="322"/>
      <c r="N31" s="318" t="s">
        <v>624</v>
      </c>
      <c r="P31" s="199">
        <f>P30*N12</f>
        <v>0</v>
      </c>
      <c r="U31" s="101"/>
      <c r="X31" s="277"/>
      <c r="AA31" s="186" t="str">
        <f>AA15</f>
        <v>Power from generator</v>
      </c>
      <c r="AB31" s="196"/>
      <c r="AC31" s="179">
        <f t="shared" ref="AC31:AH31" si="13">AC15*3600*$AB15/1000000</f>
        <v>0</v>
      </c>
      <c r="AD31" s="179">
        <f t="shared" si="13"/>
        <v>0</v>
      </c>
      <c r="AE31" s="179">
        <f t="shared" si="13"/>
        <v>0</v>
      </c>
      <c r="AF31" s="179">
        <f t="shared" si="13"/>
        <v>0</v>
      </c>
      <c r="AG31" s="179">
        <f t="shared" si="13"/>
        <v>0</v>
      </c>
      <c r="AH31" s="179">
        <f t="shared" si="13"/>
        <v>0</v>
      </c>
      <c r="AI31" s="179">
        <f>-AI15*3600*$AB15/1000000</f>
        <v>0</v>
      </c>
      <c r="AJ31" s="179">
        <f t="shared" si="12"/>
        <v>0</v>
      </c>
      <c r="AK31" s="175"/>
      <c r="AO31" s="112"/>
      <c r="AP31" s="113"/>
      <c r="AQ31" s="114"/>
      <c r="AR31"/>
    </row>
    <row r="32" spans="2:46" ht="19.399999999999999" customHeight="1" x14ac:dyDescent="0.45">
      <c r="B32" s="261"/>
      <c r="G32" s="44" t="s">
        <v>747</v>
      </c>
      <c r="H32" s="102" t="s">
        <v>597</v>
      </c>
      <c r="I32" s="322"/>
      <c r="M32" s="98" t="s">
        <v>78</v>
      </c>
      <c r="N32" s="306">
        <f>C12+N18+S10+N10+S25</f>
        <v>10018634</v>
      </c>
      <c r="P32" s="199">
        <f>P31*(1-S27)</f>
        <v>0</v>
      </c>
      <c r="Q32" s="28"/>
      <c r="S32" s="101"/>
      <c r="U32" s="78"/>
      <c r="X32" s="277"/>
      <c r="AA32" s="185" t="s">
        <v>429</v>
      </c>
      <c r="AB32" s="196"/>
      <c r="AC32" s="182">
        <f>AC16*GHG_Conversions!$D$6</f>
        <v>0</v>
      </c>
      <c r="AD32" s="182">
        <f>AD16*GHG_Conversions!$D$6</f>
        <v>0</v>
      </c>
      <c r="AE32" s="182">
        <f>AE16*GHG_Conversions!$D$6</f>
        <v>2217218.498300578</v>
      </c>
      <c r="AF32" s="182">
        <f>AF16*GHG_Conversions!$D$6</f>
        <v>0</v>
      </c>
      <c r="AG32" s="182">
        <f>AG16*GHG_Conversions!$D$6</f>
        <v>0</v>
      </c>
      <c r="AH32" s="182">
        <f>AH16*GHG_Conversions!$D$6</f>
        <v>0</v>
      </c>
      <c r="AI32" s="182"/>
      <c r="AJ32" s="182">
        <f t="shared" si="12"/>
        <v>2217218.498300578</v>
      </c>
      <c r="AK32" s="175"/>
      <c r="AO32" s="112"/>
      <c r="AP32" s="117"/>
      <c r="AQ32"/>
      <c r="AR32"/>
    </row>
    <row r="33" spans="2:44" ht="19" x14ac:dyDescent="0.5">
      <c r="B33" s="261"/>
      <c r="G33" s="44" t="s">
        <v>746</v>
      </c>
      <c r="H33" s="103">
        <f>VLOOKUP(H32,CHP!C3:K39,7,FALSE)</f>
        <v>1200</v>
      </c>
      <c r="I33" s="322"/>
      <c r="M33" s="98" t="s">
        <v>246</v>
      </c>
      <c r="N33" s="305">
        <f>C13+N19+N11+S11+S26+N23-H24</f>
        <v>15448990</v>
      </c>
      <c r="Q33" s="28"/>
      <c r="S33" s="101"/>
      <c r="W33" s="28"/>
      <c r="X33" s="277"/>
      <c r="AA33" s="187"/>
      <c r="AB33" s="196"/>
      <c r="AC33" s="183">
        <f t="shared" ref="AC33:AJ33" si="14">AC19+AC26+AC32</f>
        <v>195200.90684849338</v>
      </c>
      <c r="AD33" s="183">
        <f t="shared" si="14"/>
        <v>134218.04918130205</v>
      </c>
      <c r="AE33" s="183">
        <f t="shared" si="14"/>
        <v>3101191.7493776013</v>
      </c>
      <c r="AF33" s="183">
        <f t="shared" si="14"/>
        <v>1765905.5279373366</v>
      </c>
      <c r="AG33" s="183">
        <f t="shared" si="14"/>
        <v>769545.98694516963</v>
      </c>
      <c r="AH33" s="183">
        <f t="shared" si="14"/>
        <v>540707.31187989551</v>
      </c>
      <c r="AI33" s="183">
        <f t="shared" si="14"/>
        <v>625407.83299398632</v>
      </c>
      <c r="AJ33" s="183">
        <f t="shared" si="14"/>
        <v>7132177.3651637845</v>
      </c>
      <c r="AK33" s="123" t="s">
        <v>373</v>
      </c>
      <c r="AL33" s="171">
        <f>AJ33/U14*1000</f>
        <v>20.531091751478336</v>
      </c>
      <c r="AM33" s="28" t="s">
        <v>374</v>
      </c>
      <c r="AO33" s="112"/>
      <c r="AP33" s="113"/>
      <c r="AQ33" s="114"/>
      <c r="AR33"/>
    </row>
    <row r="34" spans="2:44" ht="18.5" x14ac:dyDescent="0.45">
      <c r="B34" s="261"/>
      <c r="G34" s="44" t="s">
        <v>745</v>
      </c>
      <c r="H34" s="312">
        <f>H37/EnergyConversions!$B$21</f>
        <v>1831992.5951301786</v>
      </c>
      <c r="M34" s="98" t="s">
        <v>253</v>
      </c>
      <c r="N34" s="305">
        <f>N33+H24</f>
        <v>16762990</v>
      </c>
      <c r="S34" s="101"/>
      <c r="X34" s="277"/>
      <c r="AJ34" s="78">
        <f>AJ33-AJ32</f>
        <v>4914958.866863206</v>
      </c>
      <c r="AK34" s="78"/>
      <c r="AO34" s="112"/>
      <c r="AP34" s="113"/>
      <c r="AQ34" s="114"/>
      <c r="AR34"/>
    </row>
    <row r="35" spans="2:44" ht="18" customHeight="1" x14ac:dyDescent="0.45">
      <c r="B35" s="261"/>
      <c r="H35" s="311">
        <f>H34/8760</f>
        <v>209.13157478655006</v>
      </c>
      <c r="I35" s="322"/>
      <c r="M35" s="98" t="s">
        <v>79</v>
      </c>
      <c r="N35" s="306">
        <f>H17+H38+H54-N32</f>
        <v>7507224.9386792444</v>
      </c>
      <c r="X35" s="277"/>
      <c r="AO35" s="118"/>
      <c r="AP35" s="113"/>
      <c r="AQ35" s="114"/>
      <c r="AR35"/>
    </row>
    <row r="36" spans="2:44" ht="18.5" x14ac:dyDescent="0.45">
      <c r="B36" s="261"/>
      <c r="F36" s="44" t="s">
        <v>619</v>
      </c>
      <c r="G36" s="276">
        <v>0.5</v>
      </c>
      <c r="H36" s="302">
        <f>H37*EnergyConversions!$B$5</f>
        <v>20253695.912828084</v>
      </c>
      <c r="I36" s="321">
        <f>H36/8760</f>
        <v>2312.0657434735258</v>
      </c>
      <c r="M36" s="98" t="s">
        <v>80</v>
      </c>
      <c r="N36" s="305">
        <f>H39+H55+H24-N34</f>
        <v>0</v>
      </c>
      <c r="X36" s="277"/>
      <c r="AO36" s="112"/>
      <c r="AP36" s="113"/>
      <c r="AQ36" s="114"/>
      <c r="AR36"/>
    </row>
    <row r="37" spans="2:44" ht="18" customHeight="1" x14ac:dyDescent="0.45">
      <c r="B37" s="261"/>
      <c r="D37" s="273"/>
      <c r="F37" s="95" t="s">
        <v>259</v>
      </c>
      <c r="G37" s="324">
        <f>H40/H33</f>
        <v>0.73482638888888885</v>
      </c>
      <c r="H37" s="307">
        <f>H39/G39</f>
        <v>18218148.584905662</v>
      </c>
      <c r="I37" s="322"/>
      <c r="M37" s="98" t="s">
        <v>229</v>
      </c>
      <c r="N37" s="274">
        <f>(I15+I36+I52+I24)/E12</f>
        <v>0.32655096846482345</v>
      </c>
      <c r="X37" s="277"/>
      <c r="AO37" s="112"/>
      <c r="AP37" s="113"/>
      <c r="AQ37" s="113"/>
      <c r="AR37" s="113"/>
    </row>
    <row r="38" spans="2:44" ht="18" customHeight="1" x14ac:dyDescent="0.45">
      <c r="B38" s="261"/>
      <c r="E38" s="275"/>
      <c r="F38" s="95" t="s">
        <v>69</v>
      </c>
      <c r="G38" s="304">
        <f>VLOOKUP(H32,CHP!C3:S39,16,FALSE)</f>
        <v>0.48099999999999998</v>
      </c>
      <c r="H38" s="306">
        <f>H37*G38</f>
        <v>8762929.4693396222</v>
      </c>
      <c r="I38" s="322"/>
      <c r="M38" s="28" t="s">
        <v>355</v>
      </c>
      <c r="N38" s="200">
        <f>273+60</f>
        <v>333</v>
      </c>
      <c r="O38" s="28" t="s">
        <v>372</v>
      </c>
      <c r="X38" s="277"/>
      <c r="AO38" s="112"/>
      <c r="AP38" s="113"/>
      <c r="AQ38" s="114"/>
      <c r="AR38"/>
    </row>
    <row r="39" spans="2:44" ht="18.649999999999999" customHeight="1" x14ac:dyDescent="0.45">
      <c r="B39" s="261"/>
      <c r="F39" s="95" t="s">
        <v>70</v>
      </c>
      <c r="G39" s="303">
        <f>VLOOKUP(H32,CHP!C3:S39,14,FALSE)</f>
        <v>0.42399999999999999</v>
      </c>
      <c r="H39" s="305">
        <f>N33*G36</f>
        <v>7724495</v>
      </c>
      <c r="I39" s="322"/>
      <c r="X39" s="277"/>
      <c r="AO39" s="110"/>
      <c r="AP39" s="113"/>
      <c r="AQ39" s="114"/>
      <c r="AR39"/>
    </row>
    <row r="40" spans="2:44" ht="18.5" x14ac:dyDescent="0.45">
      <c r="B40" s="261"/>
      <c r="F40" s="44" t="s">
        <v>621</v>
      </c>
      <c r="G40" s="276">
        <v>1</v>
      </c>
      <c r="H40" s="111">
        <f>H39/8760/G40</f>
        <v>881.79166666666663</v>
      </c>
      <c r="I40" s="323">
        <f>H40*EnergyConversions!$B$5</f>
        <v>980.31587523277472</v>
      </c>
      <c r="N40" s="64"/>
      <c r="X40" s="277"/>
      <c r="AO40" s="112"/>
      <c r="AP40" s="113"/>
      <c r="AQ40" s="114"/>
      <c r="AR40"/>
    </row>
    <row r="41" spans="2:44" ht="18.5" x14ac:dyDescent="0.45">
      <c r="B41" s="261"/>
      <c r="G41" s="281" t="s">
        <v>620</v>
      </c>
      <c r="H41" s="116">
        <f>(H38+H39)/H37</f>
        <v>0.90499999999999992</v>
      </c>
      <c r="I41" s="322"/>
      <c r="N41" s="28"/>
      <c r="X41" s="277"/>
      <c r="AO41" s="112"/>
      <c r="AP41" s="113"/>
      <c r="AQ41" s="114"/>
      <c r="AR41"/>
    </row>
    <row r="42" spans="2:44" ht="21" customHeight="1" x14ac:dyDescent="0.45">
      <c r="B42" s="261"/>
      <c r="E42" s="44" t="s">
        <v>371</v>
      </c>
      <c r="F42" s="351">
        <f>(GHG_Emissions!$E$7/G38)*(((($N$38-273)/$N$38)*G38)/(G39+((($N$38-273)/$N$38)*G38)))</f>
        <v>2.254212436980061E-2</v>
      </c>
      <c r="G42" s="352">
        <f>(GHG_Emissions!$E$7/G39)*(G39/(G39+((($N$38-273)/$N$38)*G38)))</f>
        <v>0.12510879025239341</v>
      </c>
      <c r="H42" s="99">
        <f>(H38*3600*F42+H39*3600*G42)/1000000</f>
        <v>4190.1741745283025</v>
      </c>
      <c r="I42" s="361">
        <f>H42/($H$37*3.6)*1000</f>
        <v>6.3888888888888898E-2</v>
      </c>
      <c r="K42" s="364">
        <f>SUM(H42:H45)</f>
        <v>341408.104481132</v>
      </c>
      <c r="X42" s="277"/>
      <c r="AO42" s="112"/>
      <c r="AP42" s="113"/>
      <c r="AQ42" s="114"/>
      <c r="AR42"/>
    </row>
    <row r="43" spans="2:44" ht="20.9" customHeight="1" x14ac:dyDescent="0.45">
      <c r="B43" s="261"/>
      <c r="C43" s="119"/>
      <c r="E43" s="44" t="s">
        <v>370</v>
      </c>
      <c r="F43" s="353"/>
      <c r="G43" s="354"/>
      <c r="H43" s="99">
        <f>(H38*3600*F43+H39*3600*G43)/1000000</f>
        <v>0</v>
      </c>
      <c r="I43" s="361">
        <f t="shared" ref="I43:I45" si="15">H43/($H$37*3.6)*1000</f>
        <v>0</v>
      </c>
      <c r="X43" s="277"/>
      <c r="AO43" s="118"/>
      <c r="AP43" s="113"/>
      <c r="AQ43" s="114"/>
      <c r="AR43"/>
    </row>
    <row r="44" spans="2:44" ht="18.5" x14ac:dyDescent="0.45">
      <c r="B44" s="261"/>
      <c r="E44" s="44" t="s">
        <v>369</v>
      </c>
      <c r="F44" s="351">
        <f>(GHG_Emissions!$E$8/G38)*(((($N$38-273)/$N$38)*G38)/(G39+((($N$38-273)/$N$38)*G38)))</f>
        <v>1.8141509655869965</v>
      </c>
      <c r="G44" s="352">
        <f>(GHG_Emissions!$E$8/G39)*(G39/(G39+((($N$38-273)/$N$38)*G38)))</f>
        <v>10.068537859007831</v>
      </c>
      <c r="H44" s="99">
        <f>(H38*3600*F44+H39*3600*G44)/1000000</f>
        <v>337217.93030660372</v>
      </c>
      <c r="I44" s="361">
        <f t="shared" si="15"/>
        <v>5.1416666666666648</v>
      </c>
      <c r="X44" s="277"/>
      <c r="AO44" s="112"/>
      <c r="AP44" s="113"/>
      <c r="AQ44" s="114"/>
      <c r="AR44"/>
    </row>
    <row r="45" spans="2:44" ht="18.649999999999999" customHeight="1" x14ac:dyDescent="0.35">
      <c r="B45" s="261"/>
      <c r="E45" s="44" t="s">
        <v>368</v>
      </c>
      <c r="F45" s="353"/>
      <c r="G45" s="354"/>
      <c r="H45" s="99">
        <f>(H38*3600*F45+H39*3600*G45)/1000000</f>
        <v>0</v>
      </c>
      <c r="I45" s="361">
        <f t="shared" si="15"/>
        <v>0</v>
      </c>
      <c r="X45" s="277"/>
    </row>
    <row r="46" spans="2:44" ht="17.899999999999999" customHeight="1" x14ac:dyDescent="0.35">
      <c r="B46" s="261"/>
      <c r="I46" s="322"/>
      <c r="X46" s="277"/>
    </row>
    <row r="47" spans="2:44" ht="17.899999999999999" customHeight="1" x14ac:dyDescent="0.35">
      <c r="B47" s="261"/>
      <c r="H47" s="75" t="s">
        <v>250</v>
      </c>
      <c r="I47" s="322"/>
      <c r="X47" s="277"/>
    </row>
    <row r="48" spans="2:44" ht="18.649999999999999" customHeight="1" x14ac:dyDescent="0.35">
      <c r="B48" s="261"/>
      <c r="G48" s="44" t="s">
        <v>747</v>
      </c>
      <c r="H48" s="102" t="s">
        <v>597</v>
      </c>
      <c r="I48" s="322"/>
      <c r="X48" s="277"/>
    </row>
    <row r="49" spans="2:41" ht="18.649999999999999" customHeight="1" x14ac:dyDescent="0.35">
      <c r="B49" s="261"/>
      <c r="G49" s="44" t="s">
        <v>746</v>
      </c>
      <c r="H49" s="103">
        <f>VLOOKUP(H48,CHP!C3:K39,7,FALSE)</f>
        <v>1200</v>
      </c>
      <c r="I49" s="322"/>
      <c r="X49" s="277"/>
    </row>
    <row r="50" spans="2:41" ht="20.149999999999999" customHeight="1" x14ac:dyDescent="0.35">
      <c r="B50" s="261"/>
      <c r="G50" s="44" t="s">
        <v>745</v>
      </c>
      <c r="H50" s="312">
        <f>H53/EnergyConversions!$B$21</f>
        <v>1831992.5951301786</v>
      </c>
      <c r="X50" s="277"/>
    </row>
    <row r="51" spans="2:41" ht="21" customHeight="1" x14ac:dyDescent="0.35">
      <c r="B51" s="261"/>
      <c r="H51" s="311">
        <f>H50/8760</f>
        <v>209.13157478655006</v>
      </c>
      <c r="I51" s="322"/>
      <c r="X51" s="277"/>
    </row>
    <row r="52" spans="2:41" ht="20.9" customHeight="1" x14ac:dyDescent="0.35">
      <c r="B52" s="261"/>
      <c r="F52" s="44" t="s">
        <v>619</v>
      </c>
      <c r="G52" s="276">
        <f>1-G36</f>
        <v>0.5</v>
      </c>
      <c r="H52" s="302">
        <f>H53*EnergyConversions!$B$5</f>
        <v>20253695.912828084</v>
      </c>
      <c r="I52" s="321">
        <f>H52/8760</f>
        <v>2312.0657434735258</v>
      </c>
      <c r="X52" s="277"/>
    </row>
    <row r="53" spans="2:41" ht="18.649999999999999" customHeight="1" x14ac:dyDescent="0.35">
      <c r="B53" s="261"/>
      <c r="D53" s="273"/>
      <c r="F53" s="95" t="s">
        <v>259</v>
      </c>
      <c r="G53" s="324">
        <f>H56/H49</f>
        <v>0.73482638888888885</v>
      </c>
      <c r="H53" s="307">
        <f>H55/G55</f>
        <v>18218148.584905662</v>
      </c>
      <c r="I53" s="322"/>
      <c r="X53" s="277"/>
    </row>
    <row r="54" spans="2:41" ht="18.649999999999999" customHeight="1" x14ac:dyDescent="0.35">
      <c r="B54" s="261"/>
      <c r="E54" s="275"/>
      <c r="F54" s="95" t="s">
        <v>69</v>
      </c>
      <c r="G54" s="304">
        <f>VLOOKUP(H48,CHP!C3:S39,16,FALSE)</f>
        <v>0.48099999999999998</v>
      </c>
      <c r="H54" s="306">
        <f>H53*G54</f>
        <v>8762929.4693396222</v>
      </c>
      <c r="I54" s="322"/>
      <c r="V54" s="120"/>
      <c r="W54" s="120"/>
      <c r="X54" s="313"/>
      <c r="Y54" s="120"/>
    </row>
    <row r="55" spans="2:41" ht="17.899999999999999" customHeight="1" x14ac:dyDescent="0.35">
      <c r="B55" s="261"/>
      <c r="F55" s="95" t="s">
        <v>70</v>
      </c>
      <c r="G55" s="303">
        <f>VLOOKUP(H48,CHP!C3:S39,14,FALSE)</f>
        <v>0.42399999999999999</v>
      </c>
      <c r="H55" s="305">
        <f>N33*G52</f>
        <v>7724495</v>
      </c>
      <c r="I55" s="322"/>
      <c r="V55" s="121"/>
      <c r="W55" s="121"/>
      <c r="X55" s="314"/>
      <c r="Y55" s="121"/>
    </row>
    <row r="56" spans="2:41" ht="18.649999999999999" customHeight="1" x14ac:dyDescent="0.35">
      <c r="B56" s="261"/>
      <c r="F56" s="44" t="s">
        <v>621</v>
      </c>
      <c r="G56" s="276">
        <v>1</v>
      </c>
      <c r="H56" s="111">
        <f>H55/8760/G56</f>
        <v>881.79166666666663</v>
      </c>
      <c r="I56" s="323">
        <f>H56*EnergyConversions!$B$5</f>
        <v>980.31587523277472</v>
      </c>
      <c r="X56" s="277"/>
    </row>
    <row r="57" spans="2:41" ht="18.649999999999999" customHeight="1" x14ac:dyDescent="0.35">
      <c r="B57" s="261"/>
      <c r="F57" s="95"/>
      <c r="G57" s="281" t="s">
        <v>620</v>
      </c>
      <c r="H57" s="116">
        <f>(H54+H55)/H53</f>
        <v>0.90499999999999992</v>
      </c>
      <c r="X57" s="277"/>
    </row>
    <row r="58" spans="2:41" ht="20.149999999999999" customHeight="1" x14ac:dyDescent="0.35">
      <c r="B58" s="261"/>
      <c r="E58" s="44" t="s">
        <v>371</v>
      </c>
      <c r="F58" s="351">
        <f>(GHG_Emissions!$E$10/G54)*(((($N$38-273)/$N$38)*G54)/(G55+((($N$38-273)/$N$38)*G54)))</f>
        <v>19.860591662158239</v>
      </c>
      <c r="G58" s="352">
        <f>(GHG_Emissions!$E$10/G55)*(G55/(G55+((($N$38-273)/$N$38)*G54)))</f>
        <v>110.22628372497823</v>
      </c>
      <c r="H58" s="99">
        <f>(H54*3600*F58+H55*3600*G58)/1000000</f>
        <v>3691725.6292452822</v>
      </c>
      <c r="I58" s="361">
        <f>H58/($H$53*3.6)*1000</f>
        <v>56.28888888888887</v>
      </c>
      <c r="K58" s="364">
        <f>SUM(H58:H61)</f>
        <v>4301487.062382075</v>
      </c>
      <c r="X58" s="277"/>
    </row>
    <row r="59" spans="2:41" ht="18.649999999999999" customHeight="1" x14ac:dyDescent="0.35">
      <c r="B59" s="261"/>
      <c r="E59" s="44" t="s">
        <v>370</v>
      </c>
      <c r="F59" s="353"/>
      <c r="G59" s="354"/>
      <c r="H59" s="99">
        <f>(H54*3600*F59+H55*3600*G59)/1000000</f>
        <v>0</v>
      </c>
      <c r="I59" s="361">
        <f t="shared" ref="I59:I61" si="16">H59/($H$53*3.6)*1000</f>
        <v>0</v>
      </c>
      <c r="X59" s="277"/>
    </row>
    <row r="60" spans="2:41" ht="18.649999999999999" customHeight="1" x14ac:dyDescent="0.35">
      <c r="B60" s="261"/>
      <c r="E60" s="44" t="s">
        <v>369</v>
      </c>
      <c r="F60" s="351">
        <f>(GHG_Emissions!$E$11/G54)*(((($N$38-273)/$N$38)*G54)/(G55+((($N$38-273)/$N$38)*G54)))</f>
        <v>3.2803691419879413</v>
      </c>
      <c r="G60" s="352">
        <f>(GHG_Emissions!$E$11/G55)*(G55/(G55+((($N$38-273)/$N$38)*G54)))</f>
        <v>18.206048738033076</v>
      </c>
      <c r="H60" s="99">
        <f>(H54*3600*F60+H55*3600*G60)/1000000</f>
        <v>609761.43313679262</v>
      </c>
      <c r="I60" s="361">
        <f t="shared" si="16"/>
        <v>9.2972222222222243</v>
      </c>
      <c r="X60" s="277"/>
    </row>
    <row r="61" spans="2:41" ht="18.649999999999999" customHeight="1" x14ac:dyDescent="0.35">
      <c r="B61" s="261"/>
      <c r="E61" s="44" t="s">
        <v>368</v>
      </c>
      <c r="F61" s="353"/>
      <c r="G61" s="354"/>
      <c r="H61" s="99">
        <f>(H54*3600*F61+H55*3600*G61)/1000000</f>
        <v>0</v>
      </c>
      <c r="I61" s="361">
        <f t="shared" si="16"/>
        <v>0</v>
      </c>
      <c r="X61" s="277"/>
    </row>
    <row r="62" spans="2:41" ht="18.649999999999999" customHeight="1" x14ac:dyDescent="0.35">
      <c r="B62" s="261"/>
      <c r="X62" s="277"/>
      <c r="Y62" s="319"/>
    </row>
    <row r="63" spans="2:41" ht="18.649999999999999" customHeight="1" x14ac:dyDescent="0.35">
      <c r="B63" s="261"/>
      <c r="H63" s="75" t="s">
        <v>739</v>
      </c>
      <c r="I63" s="322"/>
      <c r="X63" s="277"/>
    </row>
    <row r="64" spans="2:41" ht="18.649999999999999" customHeight="1" x14ac:dyDescent="0.35">
      <c r="B64" s="261"/>
      <c r="G64" s="44" t="s">
        <v>747</v>
      </c>
      <c r="H64" s="102" t="s">
        <v>597</v>
      </c>
      <c r="I64" s="322"/>
      <c r="X64" s="277"/>
    </row>
    <row r="65" spans="2:24" ht="18.649999999999999" customHeight="1" x14ac:dyDescent="0.35">
      <c r="B65" s="261"/>
      <c r="G65" s="44" t="s">
        <v>746</v>
      </c>
      <c r="H65" s="103">
        <f>VLOOKUP(H64,CHP!C19:K55,7,FALSE)</f>
        <v>1200</v>
      </c>
      <c r="I65" s="322"/>
      <c r="X65" s="277"/>
    </row>
    <row r="66" spans="2:24" ht="18.649999999999999" customHeight="1" x14ac:dyDescent="0.35">
      <c r="B66" s="261"/>
      <c r="G66" s="44" t="s">
        <v>745</v>
      </c>
      <c r="H66" s="312">
        <f>H69/EnergyConversions!$B$21</f>
        <v>0</v>
      </c>
      <c r="X66" s="277"/>
    </row>
    <row r="67" spans="2:24" ht="18.649999999999999" customHeight="1" x14ac:dyDescent="0.35">
      <c r="B67" s="261"/>
      <c r="H67" s="311">
        <f>H66/8760</f>
        <v>0</v>
      </c>
      <c r="I67" s="322"/>
      <c r="X67" s="277"/>
    </row>
    <row r="68" spans="2:24" ht="18.649999999999999" customHeight="1" x14ac:dyDescent="0.35">
      <c r="B68" s="261"/>
      <c r="F68" s="44" t="s">
        <v>619</v>
      </c>
      <c r="G68" s="276">
        <v>0</v>
      </c>
      <c r="H68" s="302">
        <f>H69*EnergyConversions!$B$5</f>
        <v>0</v>
      </c>
      <c r="I68" s="321">
        <f>H68/8760</f>
        <v>0</v>
      </c>
      <c r="X68" s="277"/>
    </row>
    <row r="69" spans="2:24" ht="18.649999999999999" customHeight="1" x14ac:dyDescent="0.35">
      <c r="B69" s="261"/>
      <c r="D69" s="273"/>
      <c r="F69" s="95" t="s">
        <v>259</v>
      </c>
      <c r="G69" s="324">
        <f>H72/H65</f>
        <v>0</v>
      </c>
      <c r="H69" s="307">
        <f>H71/G71</f>
        <v>0</v>
      </c>
      <c r="I69" s="322"/>
      <c r="X69" s="277"/>
    </row>
    <row r="70" spans="2:24" ht="18.649999999999999" customHeight="1" x14ac:dyDescent="0.35">
      <c r="B70" s="261"/>
      <c r="E70" s="275"/>
      <c r="F70" s="95" t="s">
        <v>69</v>
      </c>
      <c r="G70" s="304">
        <f>VLOOKUP(H64,CHP!C19:S55,16,FALSE)</f>
        <v>0.48099999999999998</v>
      </c>
      <c r="H70" s="306">
        <f>H69*G70</f>
        <v>0</v>
      </c>
      <c r="I70" s="322"/>
      <c r="X70" s="277"/>
    </row>
    <row r="71" spans="2:24" ht="18.649999999999999" customHeight="1" x14ac:dyDescent="0.35">
      <c r="B71" s="261"/>
      <c r="F71" s="95" t="s">
        <v>70</v>
      </c>
      <c r="G71" s="303">
        <f>VLOOKUP(H64,CHP!C19:S55,14,FALSE)</f>
        <v>0.42399999999999999</v>
      </c>
      <c r="H71" s="305">
        <f>N33*G68</f>
        <v>0</v>
      </c>
      <c r="I71" s="322"/>
      <c r="X71" s="277"/>
    </row>
    <row r="72" spans="2:24" ht="18.649999999999999" customHeight="1" x14ac:dyDescent="0.35">
      <c r="B72" s="261"/>
      <c r="F72" s="44" t="s">
        <v>621</v>
      </c>
      <c r="G72" s="276">
        <v>1</v>
      </c>
      <c r="H72" s="111">
        <f>H71/8760/G72</f>
        <v>0</v>
      </c>
      <c r="I72" s="323">
        <f>H72*EnergyConversions!$B$5</f>
        <v>0</v>
      </c>
      <c r="X72" s="277"/>
    </row>
    <row r="73" spans="2:24" ht="18.649999999999999" customHeight="1" x14ac:dyDescent="0.35">
      <c r="B73" s="261"/>
      <c r="F73" s="95"/>
      <c r="G73" s="281" t="s">
        <v>620</v>
      </c>
      <c r="H73" s="116">
        <f>IFERROR((H70+H71)/H69,0)</f>
        <v>0</v>
      </c>
      <c r="X73" s="277"/>
    </row>
    <row r="74" spans="2:24" ht="18.649999999999999" customHeight="1" x14ac:dyDescent="0.35">
      <c r="B74" s="261"/>
      <c r="E74" s="44" t="s">
        <v>371</v>
      </c>
      <c r="F74" s="351">
        <f>(GHG_Emissions!$E$10/G70)*(((($N$38-273)/$N$38)*G70)/(G71+((($N$38-273)/$N$38)*G70)))</f>
        <v>19.860591662158239</v>
      </c>
      <c r="G74" s="352">
        <f>(GHG_Emissions!$E$10/G71)*(G71/(G71+((($N$38-273)/$N$38)*G70)))</f>
        <v>110.22628372497823</v>
      </c>
      <c r="H74" s="99">
        <f>(H70*3600*F74+H71*3600*G74)/1000000</f>
        <v>0</v>
      </c>
      <c r="I74" s="361">
        <f>H74/($H$53*3.6)*1000</f>
        <v>0</v>
      </c>
      <c r="K74" s="364">
        <f>SUM(H74:H77)</f>
        <v>0</v>
      </c>
      <c r="X74" s="277"/>
    </row>
    <row r="75" spans="2:24" ht="18.649999999999999" customHeight="1" x14ac:dyDescent="0.35">
      <c r="B75" s="261"/>
      <c r="E75" s="44" t="s">
        <v>370</v>
      </c>
      <c r="F75" s="353"/>
      <c r="G75" s="354"/>
      <c r="H75" s="99">
        <f>(H70*3600*F75+H71*3600*G75)/1000000</f>
        <v>0</v>
      </c>
      <c r="I75" s="361">
        <f t="shared" ref="I75:I77" si="17">H75/($H$53*3.6)*1000</f>
        <v>0</v>
      </c>
      <c r="X75" s="277"/>
    </row>
    <row r="76" spans="2:24" ht="18.649999999999999" customHeight="1" x14ac:dyDescent="0.35">
      <c r="B76" s="261"/>
      <c r="E76" s="44" t="s">
        <v>369</v>
      </c>
      <c r="F76" s="351">
        <f>(GHG_Emissions!$E$11/G70)*(((($N$38-273)/$N$38)*G70)/(G71+((($N$38-273)/$N$38)*G70)))</f>
        <v>3.2803691419879413</v>
      </c>
      <c r="G76" s="352">
        <f>(GHG_Emissions!$E$11/G71)*(G71/(G71+((($N$38-273)/$N$38)*G70)))</f>
        <v>18.206048738033076</v>
      </c>
      <c r="H76" s="99">
        <f>(H70*3600*F76+H71*3600*G76)/1000000</f>
        <v>0</v>
      </c>
      <c r="I76" s="361">
        <f t="shared" si="17"/>
        <v>0</v>
      </c>
      <c r="X76" s="277"/>
    </row>
    <row r="77" spans="2:24" ht="18.649999999999999" customHeight="1" x14ac:dyDescent="0.35">
      <c r="B77" s="261"/>
      <c r="E77" s="44" t="s">
        <v>368</v>
      </c>
      <c r="F77" s="353"/>
      <c r="G77" s="354"/>
      <c r="H77" s="99">
        <f>(H70*3600*F77+H71*3600*G77)/1000000</f>
        <v>0</v>
      </c>
      <c r="I77" s="361">
        <f t="shared" si="17"/>
        <v>0</v>
      </c>
      <c r="X77" s="277"/>
    </row>
    <row r="78" spans="2:24" ht="18.649999999999999" customHeight="1" x14ac:dyDescent="0.35">
      <c r="B78" s="261"/>
      <c r="X78" s="277"/>
    </row>
    <row r="79" spans="2:24" ht="18.649999999999999" customHeight="1" x14ac:dyDescent="0.35">
      <c r="B79" s="278"/>
      <c r="C79" s="279"/>
      <c r="D79" s="279"/>
      <c r="E79" s="279"/>
      <c r="F79" s="279"/>
      <c r="G79" s="279"/>
      <c r="H79" s="279"/>
      <c r="I79" s="279"/>
      <c r="J79" s="279"/>
      <c r="K79" s="279"/>
      <c r="L79" s="279"/>
      <c r="M79" s="279"/>
      <c r="N79" s="279"/>
      <c r="O79" s="279"/>
      <c r="P79" s="279"/>
      <c r="Q79" s="279"/>
      <c r="R79" s="279"/>
      <c r="S79" s="279"/>
      <c r="T79" s="279"/>
      <c r="U79" s="279"/>
      <c r="V79" s="279"/>
      <c r="W79" s="279"/>
      <c r="X79" s="315"/>
    </row>
    <row r="80" spans="2:24" ht="18.649999999999999" customHeight="1" x14ac:dyDescent="0.35"/>
    <row r="81" ht="18.649999999999999" customHeight="1" x14ac:dyDescent="0.35"/>
    <row r="82" ht="18.649999999999999" customHeight="1" x14ac:dyDescent="0.35"/>
    <row r="83" ht="18.649999999999999" customHeight="1" x14ac:dyDescent="0.35"/>
    <row r="84" ht="18.649999999999999" customHeight="1" x14ac:dyDescent="0.35"/>
    <row r="85" ht="18.649999999999999" customHeight="1" x14ac:dyDescent="0.35"/>
    <row r="86" ht="18.649999999999999" customHeight="1" x14ac:dyDescent="0.35"/>
    <row r="87" ht="18.649999999999999" customHeight="1" x14ac:dyDescent="0.35"/>
  </sheetData>
  <mergeCells count="13">
    <mergeCell ref="U5:U6"/>
    <mergeCell ref="W5:W6"/>
    <mergeCell ref="B7:B8"/>
    <mergeCell ref="M7:N7"/>
    <mergeCell ref="R7:S7"/>
    <mergeCell ref="M8:M9"/>
    <mergeCell ref="R8:R9"/>
    <mergeCell ref="R22:S22"/>
    <mergeCell ref="R23:R24"/>
    <mergeCell ref="M21:N21"/>
    <mergeCell ref="R17:S17"/>
    <mergeCell ref="M17:N17"/>
    <mergeCell ref="R18:S19"/>
  </mergeCells>
  <phoneticPr fontId="26" type="noConversion"/>
  <dataValidations count="1">
    <dataValidation type="whole" allowBlank="1" showInputMessage="1" showErrorMessage="1" sqref="AE15" xr:uid="{F5D92AB8-F543-4988-B6DA-7EAE8848AEF6}">
      <formula1>0</formula1>
      <formula2>1000000000</formula2>
    </dataValidation>
  </dataValidations>
  <pageMargins left="0.7" right="0.7" top="0.75" bottom="0.75" header="0.3" footer="0.3"/>
  <pageSetup paperSize="8" scale="10" orientation="landscape" r:id="rId1"/>
  <ignoredErrors>
    <ignoredError sqref="U11" formula="1"/>
  </ignoredErrors>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954B7E68-0FD7-47CD-A8F7-F0D7458CC048}">
          <x14:formula1>
            <xm:f>'Power requirements'!$F$28:$G$28</xm:f>
          </x14:formula1>
          <xm:sqref>C4</xm:sqref>
        </x14:dataValidation>
        <x14:dataValidation type="list" allowBlank="1" showInputMessage="1" showErrorMessage="1" xr:uid="{30645700-1BAE-4389-A84F-EE4FB08AFB5B}">
          <x14:formula1>
            <xm:f>CHP!$C$23:$C$38</xm:f>
          </x14:formula1>
          <xm:sqref>H32 H48 H64</xm:sqref>
        </x14:dataValidation>
        <x14:dataValidation type="list" allowBlank="1" showInputMessage="1" showErrorMessage="1" xr:uid="{6D3094E1-E0EB-4596-94E3-80522EC5FD3A}">
          <x14:formula1>
            <xm:f>Inputs!$A$10:$A$12</xm:f>
          </x14:formula1>
          <xm:sqref>M8:M9</xm:sqref>
        </x14:dataValidation>
        <x14:dataValidation type="list" allowBlank="1" showInputMessage="1" showErrorMessage="1" xr:uid="{D8826DD1-4E16-4D16-BAE1-E9FEA2DE0724}">
          <x14:formula1>
            <xm:f>Inputs!$A$15:$A$16</xm:f>
          </x14:formula1>
          <xm:sqref>R8:R9</xm:sqref>
        </x14:dataValidation>
        <x14:dataValidation type="list" allowBlank="1" showInputMessage="1" showErrorMessage="1" xr:uid="{F6613992-C886-453D-9041-1CD00121970B}">
          <x14:formula1>
            <xm:f>Inputs!$A$19</xm:f>
          </x14:formula1>
          <xm:sqref>R23:R24</xm:sqref>
        </x14:dataValidation>
        <x14:dataValidation type="list" allowBlank="1" showInputMessage="1" showErrorMessage="1" xr:uid="{5B450748-9557-464F-B9FD-165B429FFF04}">
          <x14:formula1>
            <xm:f>Inputs!$A$4:$A$7</xm:f>
          </x14:formula1>
          <xm:sqref>B7:B8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D46F6-09C9-4B0D-B56A-2CBB764FCA8E}">
  <sheetPr>
    <tabColor theme="9"/>
    <pageSetUpPr fitToPage="1"/>
  </sheetPr>
  <dimension ref="A1:M41"/>
  <sheetViews>
    <sheetView topLeftCell="B1" zoomScaleNormal="100" workbookViewId="0">
      <pane ySplit="2" topLeftCell="A15" activePane="bottomLeft" state="frozen"/>
      <selection activeCell="H65" sqref="H65"/>
      <selection pane="bottomLeft" activeCell="M20" sqref="M20"/>
    </sheetView>
  </sheetViews>
  <sheetFormatPr defaultRowHeight="14.5" x14ac:dyDescent="0.35"/>
  <cols>
    <col min="1" max="1" width="27.81640625" hidden="1" customWidth="1"/>
    <col min="2" max="2" width="26.453125" customWidth="1"/>
    <col min="3" max="3" width="13.453125" customWidth="1"/>
    <col min="4" max="4" width="16.54296875" customWidth="1"/>
    <col min="5" max="5" width="10.1796875" customWidth="1"/>
    <col min="6" max="6" width="19.1796875" customWidth="1"/>
    <col min="7" max="7" width="12.54296875" customWidth="1"/>
    <col min="8" max="8" width="15.1796875" customWidth="1"/>
    <col min="9" max="10" width="14.81640625" hidden="1" customWidth="1"/>
    <col min="11" max="11" width="12.7265625" hidden="1" customWidth="1"/>
    <col min="12" max="12" width="19.453125" customWidth="1"/>
    <col min="13" max="13" width="41.81640625" customWidth="1"/>
  </cols>
  <sheetData>
    <row r="1" spans="1:13" x14ac:dyDescent="0.35">
      <c r="B1" s="1" t="s">
        <v>598</v>
      </c>
    </row>
    <row r="2" spans="1:13" ht="87" x14ac:dyDescent="0.35">
      <c r="B2" s="330" t="s">
        <v>629</v>
      </c>
      <c r="C2" s="317" t="s">
        <v>415</v>
      </c>
      <c r="D2" s="317" t="s">
        <v>631</v>
      </c>
      <c r="E2" s="317"/>
      <c r="F2" s="317" t="s">
        <v>632</v>
      </c>
      <c r="G2" s="317" t="s">
        <v>633</v>
      </c>
      <c r="H2" s="286"/>
      <c r="I2" s="286"/>
      <c r="J2" s="286"/>
      <c r="K2" s="286"/>
      <c r="L2" s="286"/>
      <c r="M2" s="286"/>
    </row>
    <row r="3" spans="1:13" ht="29" x14ac:dyDescent="0.35">
      <c r="A3" s="292" t="s">
        <v>599</v>
      </c>
      <c r="B3" s="333" t="s">
        <v>600</v>
      </c>
      <c r="C3" s="331" t="e">
        <f>#REF!</f>
        <v>#REF!</v>
      </c>
      <c r="D3" s="331" t="e">
        <f>#REF!</f>
        <v>#REF!</v>
      </c>
      <c r="E3" s="331"/>
      <c r="F3" s="331"/>
      <c r="G3" s="331" t="e">
        <f>#REF!</f>
        <v>#REF!</v>
      </c>
      <c r="H3" s="4"/>
      <c r="I3" s="173"/>
      <c r="J3" s="173"/>
      <c r="K3" s="173"/>
      <c r="L3" s="173"/>
      <c r="M3" s="173"/>
    </row>
    <row r="4" spans="1:13" x14ac:dyDescent="0.35">
      <c r="B4" s="38"/>
      <c r="C4" s="332"/>
      <c r="D4" s="332"/>
      <c r="E4" s="332"/>
      <c r="F4" s="332"/>
      <c r="G4" s="332"/>
      <c r="H4" s="4"/>
      <c r="I4" s="4"/>
      <c r="J4" s="4"/>
      <c r="K4" s="4"/>
      <c r="L4" s="4"/>
      <c r="M4" s="4"/>
    </row>
    <row r="5" spans="1:13" ht="43.5" x14ac:dyDescent="0.35">
      <c r="A5" s="293" t="s">
        <v>601</v>
      </c>
      <c r="B5" s="126" t="s">
        <v>602</v>
      </c>
      <c r="C5" s="331">
        <f>SUM(C6:C26)</f>
        <v>7370.16</v>
      </c>
      <c r="D5" s="331">
        <f>SUM(D6:D26)</f>
        <v>371.0066666666666</v>
      </c>
      <c r="E5" s="331"/>
      <c r="F5" s="331"/>
      <c r="G5" s="331">
        <f>SUM(G6:G26)</f>
        <v>485.79999999999995</v>
      </c>
      <c r="H5" s="4"/>
      <c r="I5" s="173"/>
      <c r="J5" s="173"/>
      <c r="K5" s="173"/>
      <c r="L5" s="173"/>
      <c r="M5" s="173"/>
    </row>
    <row r="6" spans="1:13" x14ac:dyDescent="0.35">
      <c r="B6" s="38" t="s">
        <v>559</v>
      </c>
      <c r="C6" s="38">
        <f>D6*24</f>
        <v>87.12</v>
      </c>
      <c r="D6" s="38">
        <f>G6*0.66</f>
        <v>3.6300000000000003</v>
      </c>
      <c r="E6" s="38"/>
      <c r="F6" s="38"/>
      <c r="G6" s="38">
        <v>5.5</v>
      </c>
      <c r="H6" s="4"/>
    </row>
    <row r="7" spans="1:13" x14ac:dyDescent="0.35">
      <c r="B7" s="38" t="s">
        <v>561</v>
      </c>
      <c r="C7" s="38">
        <f>D7*24</f>
        <v>87.12</v>
      </c>
      <c r="D7" s="38">
        <f>G7*0.66</f>
        <v>3.6300000000000003</v>
      </c>
      <c r="E7" s="38"/>
      <c r="F7" s="38"/>
      <c r="G7" s="38">
        <v>5.5</v>
      </c>
    </row>
    <row r="8" spans="1:13" x14ac:dyDescent="0.35">
      <c r="B8" s="38" t="s">
        <v>562</v>
      </c>
      <c r="C8" s="38">
        <f>D8*24</f>
        <v>87.12</v>
      </c>
      <c r="D8" s="38">
        <f>G8*0.66</f>
        <v>3.6300000000000003</v>
      </c>
      <c r="E8" s="38"/>
      <c r="F8" s="38"/>
      <c r="G8" s="38">
        <v>5.5</v>
      </c>
    </row>
    <row r="9" spans="1:13" x14ac:dyDescent="0.35">
      <c r="B9" s="38" t="s">
        <v>543</v>
      </c>
      <c r="C9" s="332">
        <v>243</v>
      </c>
      <c r="D9" s="332">
        <f>C9/24</f>
        <v>10.125</v>
      </c>
      <c r="E9" s="332"/>
      <c r="F9" s="332"/>
      <c r="G9" s="332">
        <v>19</v>
      </c>
      <c r="H9" s="4"/>
      <c r="I9" s="4"/>
      <c r="J9" s="4"/>
      <c r="K9" s="4"/>
      <c r="L9" s="4"/>
      <c r="M9" s="4"/>
    </row>
    <row r="10" spans="1:13" x14ac:dyDescent="0.35">
      <c r="B10" s="38" t="s">
        <v>544</v>
      </c>
      <c r="C10" s="332">
        <v>104</v>
      </c>
      <c r="D10" s="332">
        <f>C10/24</f>
        <v>4.333333333333333</v>
      </c>
      <c r="E10" s="332"/>
      <c r="F10" s="332"/>
      <c r="G10" s="332">
        <v>9</v>
      </c>
      <c r="H10" s="4"/>
      <c r="I10" s="4"/>
      <c r="J10" s="4"/>
      <c r="K10" s="4"/>
      <c r="L10" s="4"/>
      <c r="M10" s="4"/>
    </row>
    <row r="11" spans="1:13" x14ac:dyDescent="0.35">
      <c r="B11" s="38" t="s">
        <v>545</v>
      </c>
      <c r="C11" s="332">
        <v>29</v>
      </c>
      <c r="D11" s="332">
        <f>C11/24</f>
        <v>1.2083333333333333</v>
      </c>
      <c r="E11" s="332"/>
      <c r="F11" s="332"/>
      <c r="G11" s="332">
        <v>3.5</v>
      </c>
      <c r="H11" s="4"/>
      <c r="I11" s="4"/>
      <c r="J11" s="4"/>
      <c r="K11" s="4"/>
      <c r="L11" s="4"/>
      <c r="M11" s="4"/>
    </row>
    <row r="12" spans="1:13" x14ac:dyDescent="0.35">
      <c r="B12" s="38" t="s">
        <v>546</v>
      </c>
      <c r="C12" s="332">
        <v>33</v>
      </c>
      <c r="D12" s="332">
        <f>C12/24</f>
        <v>1.375</v>
      </c>
      <c r="E12" s="332"/>
      <c r="F12" s="332"/>
      <c r="G12" s="332">
        <v>4</v>
      </c>
      <c r="H12" s="4"/>
      <c r="I12" s="4"/>
      <c r="J12" s="4"/>
      <c r="K12" s="4"/>
      <c r="L12" s="4"/>
      <c r="M12" s="4"/>
    </row>
    <row r="13" spans="1:13" x14ac:dyDescent="0.35">
      <c r="B13" s="38" t="s">
        <v>547</v>
      </c>
      <c r="C13" s="332">
        <f>D13*24</f>
        <v>2652</v>
      </c>
      <c r="D13" s="332">
        <f>G13*0.85</f>
        <v>110.5</v>
      </c>
      <c r="E13" s="332"/>
      <c r="F13" s="332"/>
      <c r="G13" s="332">
        <v>130</v>
      </c>
      <c r="H13" s="4"/>
      <c r="I13" s="4"/>
      <c r="J13" s="4"/>
      <c r="K13" s="4"/>
      <c r="L13" s="4"/>
      <c r="M13" s="4"/>
    </row>
    <row r="14" spans="1:13" x14ac:dyDescent="0.35">
      <c r="B14" s="38" t="s">
        <v>548</v>
      </c>
      <c r="C14" s="332">
        <v>66</v>
      </c>
      <c r="D14" s="332">
        <f>C14/24</f>
        <v>2.75</v>
      </c>
      <c r="E14" s="332"/>
      <c r="F14" s="332"/>
      <c r="G14" s="332">
        <v>8</v>
      </c>
      <c r="H14" s="4"/>
      <c r="I14" s="4"/>
      <c r="J14" s="4"/>
      <c r="K14" s="4"/>
      <c r="L14" s="4"/>
      <c r="M14" s="4"/>
    </row>
    <row r="15" spans="1:13" x14ac:dyDescent="0.35">
      <c r="B15" s="38" t="s">
        <v>550</v>
      </c>
      <c r="C15" s="332">
        <v>2</v>
      </c>
      <c r="D15" s="332">
        <f>C15/24</f>
        <v>8.3333333333333329E-2</v>
      </c>
      <c r="E15" s="332"/>
      <c r="F15" s="332"/>
      <c r="G15" s="332">
        <v>2</v>
      </c>
      <c r="H15" s="4"/>
      <c r="I15" s="4"/>
      <c r="J15" s="4"/>
      <c r="K15" s="4"/>
      <c r="L15" s="4"/>
      <c r="M15" s="4"/>
    </row>
    <row r="16" spans="1:13" x14ac:dyDescent="0.35">
      <c r="B16" s="38" t="s">
        <v>551</v>
      </c>
      <c r="C16" s="332">
        <v>121</v>
      </c>
      <c r="D16" s="332">
        <f>C16/24</f>
        <v>5.041666666666667</v>
      </c>
      <c r="E16" s="332"/>
      <c r="F16" s="332"/>
      <c r="G16" s="332">
        <v>9</v>
      </c>
      <c r="H16" s="4"/>
      <c r="I16" s="4"/>
      <c r="J16" s="4"/>
      <c r="K16" s="4"/>
      <c r="L16" s="4"/>
      <c r="M16" s="4"/>
    </row>
    <row r="17" spans="1:13" x14ac:dyDescent="0.35">
      <c r="B17" s="38" t="s">
        <v>552</v>
      </c>
      <c r="C17" s="332">
        <v>34</v>
      </c>
      <c r="D17" s="332">
        <f>C17/24</f>
        <v>1.4166666666666667</v>
      </c>
      <c r="E17" s="332"/>
      <c r="F17" s="332"/>
      <c r="G17" s="332">
        <v>3.5</v>
      </c>
      <c r="H17" s="4"/>
      <c r="I17" s="4"/>
      <c r="J17" s="4"/>
      <c r="K17" s="4"/>
      <c r="L17" s="4"/>
      <c r="M17" s="4"/>
    </row>
    <row r="18" spans="1:13" x14ac:dyDescent="0.35">
      <c r="B18" s="38" t="s">
        <v>603</v>
      </c>
      <c r="C18" s="38">
        <f>D18*24</f>
        <v>712.80000000000007</v>
      </c>
      <c r="D18" s="332">
        <f>G18*0.66</f>
        <v>29.700000000000003</v>
      </c>
      <c r="E18" s="332"/>
      <c r="F18" s="332"/>
      <c r="G18" s="332">
        <f>15*3</f>
        <v>45</v>
      </c>
      <c r="H18" s="4"/>
      <c r="I18" s="4"/>
      <c r="J18" s="4"/>
      <c r="K18" s="4"/>
      <c r="L18" s="4"/>
      <c r="M18" s="4"/>
    </row>
    <row r="19" spans="1:13" x14ac:dyDescent="0.35">
      <c r="B19" s="38" t="s">
        <v>553</v>
      </c>
      <c r="C19" s="332">
        <v>38</v>
      </c>
      <c r="D19" s="332">
        <f>C19/24</f>
        <v>1.5833333333333333</v>
      </c>
      <c r="E19" s="332"/>
      <c r="F19" s="332"/>
      <c r="G19" s="332">
        <v>4</v>
      </c>
      <c r="H19" s="4"/>
      <c r="I19" s="4"/>
      <c r="J19" s="4"/>
      <c r="K19" s="4"/>
      <c r="L19" s="4"/>
      <c r="M19" s="4"/>
    </row>
    <row r="20" spans="1:13" x14ac:dyDescent="0.35">
      <c r="B20" s="38" t="s">
        <v>563</v>
      </c>
      <c r="C20" s="332">
        <v>1477</v>
      </c>
      <c r="D20" s="332">
        <f>G20*0.85</f>
        <v>93.5</v>
      </c>
      <c r="E20" s="332"/>
      <c r="F20" s="332"/>
      <c r="G20" s="332">
        <v>110</v>
      </c>
      <c r="H20" s="4"/>
      <c r="I20" s="4"/>
      <c r="J20" s="4"/>
      <c r="K20" s="4"/>
      <c r="L20" s="4"/>
      <c r="M20" s="4"/>
    </row>
    <row r="21" spans="1:13" x14ac:dyDescent="0.35">
      <c r="B21" s="38" t="s">
        <v>555</v>
      </c>
      <c r="C21" s="332">
        <v>38</v>
      </c>
      <c r="D21" s="332">
        <f>C21/24</f>
        <v>1.5833333333333333</v>
      </c>
      <c r="E21" s="332"/>
      <c r="F21" s="332"/>
      <c r="G21" s="332">
        <v>4</v>
      </c>
      <c r="H21" s="4"/>
      <c r="I21" s="4"/>
      <c r="J21" s="4"/>
      <c r="K21" s="4"/>
      <c r="L21" s="4"/>
      <c r="M21" s="4"/>
    </row>
    <row r="22" spans="1:13" x14ac:dyDescent="0.35">
      <c r="B22" s="38" t="s">
        <v>556</v>
      </c>
      <c r="C22" s="332">
        <v>3</v>
      </c>
      <c r="D22" s="332">
        <f>C22/24</f>
        <v>0.125</v>
      </c>
      <c r="E22" s="332"/>
      <c r="F22" s="332"/>
      <c r="G22" s="332">
        <v>0.15</v>
      </c>
      <c r="H22" s="4"/>
      <c r="I22" s="4"/>
      <c r="J22" s="4"/>
      <c r="K22" s="4"/>
      <c r="L22" s="4"/>
      <c r="M22" s="4"/>
    </row>
    <row r="23" spans="1:13" x14ac:dyDescent="0.35">
      <c r="B23" s="38" t="s">
        <v>553</v>
      </c>
      <c r="C23" s="332">
        <v>38</v>
      </c>
      <c r="D23" s="332">
        <f>C23/24</f>
        <v>1.5833333333333333</v>
      </c>
      <c r="E23" s="332"/>
      <c r="F23" s="332"/>
      <c r="G23" s="332">
        <v>4</v>
      </c>
      <c r="H23" s="4"/>
      <c r="I23" s="4"/>
      <c r="J23" s="4"/>
      <c r="K23" s="4"/>
      <c r="L23" s="4"/>
      <c r="M23" s="4"/>
    </row>
    <row r="24" spans="1:13" x14ac:dyDescent="0.35">
      <c r="B24" s="38" t="s">
        <v>604</v>
      </c>
      <c r="C24" s="332">
        <v>1477</v>
      </c>
      <c r="D24" s="332">
        <f>G24*0.85</f>
        <v>93.5</v>
      </c>
      <c r="E24" s="332"/>
      <c r="F24" s="332"/>
      <c r="G24" s="332">
        <v>110</v>
      </c>
      <c r="H24" s="4"/>
      <c r="I24" s="4"/>
      <c r="J24" s="4"/>
      <c r="K24" s="4"/>
      <c r="L24" s="4"/>
      <c r="M24" s="4"/>
    </row>
    <row r="25" spans="1:13" x14ac:dyDescent="0.35">
      <c r="B25" s="38" t="s">
        <v>555</v>
      </c>
      <c r="C25" s="332">
        <v>38</v>
      </c>
      <c r="D25" s="332">
        <f>C25/24</f>
        <v>1.5833333333333333</v>
      </c>
      <c r="E25" s="332"/>
      <c r="F25" s="332"/>
      <c r="G25" s="332">
        <v>4</v>
      </c>
      <c r="H25" s="4"/>
      <c r="I25" s="4"/>
      <c r="J25" s="4"/>
      <c r="K25" s="4"/>
      <c r="L25" s="4"/>
      <c r="M25" s="4"/>
    </row>
    <row r="26" spans="1:13" x14ac:dyDescent="0.35">
      <c r="B26" s="38" t="s">
        <v>556</v>
      </c>
      <c r="C26" s="332">
        <v>3</v>
      </c>
      <c r="D26" s="332">
        <f>C26/24</f>
        <v>0.125</v>
      </c>
      <c r="E26" s="332"/>
      <c r="F26" s="332"/>
      <c r="G26" s="332">
        <v>0.15</v>
      </c>
      <c r="H26" s="4"/>
      <c r="I26" s="4"/>
      <c r="J26" s="4"/>
      <c r="K26" s="4"/>
      <c r="L26" s="4"/>
      <c r="M26" s="4"/>
    </row>
    <row r="27" spans="1:13" x14ac:dyDescent="0.35">
      <c r="B27" s="334" t="s">
        <v>598</v>
      </c>
      <c r="C27" s="38"/>
      <c r="D27" s="38"/>
      <c r="E27" s="38"/>
      <c r="F27" s="38"/>
      <c r="G27" s="38"/>
    </row>
    <row r="28" spans="1:13" x14ac:dyDescent="0.35">
      <c r="B28" s="357">
        <v>1</v>
      </c>
      <c r="C28" s="359"/>
      <c r="D28" s="298" t="s">
        <v>656</v>
      </c>
      <c r="E28" s="298"/>
      <c r="F28" s="358" t="s">
        <v>657</v>
      </c>
      <c r="G28" s="358" t="s">
        <v>658</v>
      </c>
    </row>
    <row r="29" spans="1:13" ht="101.5" x14ac:dyDescent="0.35">
      <c r="B29" s="287" t="str">
        <f>B2</f>
        <v>Item</v>
      </c>
      <c r="C29" s="287" t="str">
        <f>C2</f>
        <v>Consumed energy per day (kWh)</v>
      </c>
      <c r="D29" s="287" t="str">
        <f>D2</f>
        <v>Continuous power demand - based on all equipment operating at nominal load (kW)</v>
      </c>
      <c r="E29" s="287" t="s">
        <v>630</v>
      </c>
      <c r="F29" s="287" t="str">
        <f>F2</f>
        <v>Continuous power demand - averaged over a representative day, and incorporating % uptime (kW)</v>
      </c>
      <c r="G29" s="317" t="str">
        <f>G2</f>
        <v>Maximum power Demand (kWh)</v>
      </c>
      <c r="H29" s="317" t="s">
        <v>672</v>
      </c>
      <c r="I29" s="317" t="s">
        <v>626</v>
      </c>
      <c r="J29" s="317" t="s">
        <v>628</v>
      </c>
      <c r="K29" s="317" t="s">
        <v>627</v>
      </c>
      <c r="L29" s="317" t="s">
        <v>274</v>
      </c>
      <c r="M29" s="317" t="s">
        <v>258</v>
      </c>
    </row>
    <row r="30" spans="1:13" ht="58" x14ac:dyDescent="0.35">
      <c r="A30" s="293" t="s">
        <v>613</v>
      </c>
      <c r="B30" s="43" t="s">
        <v>564</v>
      </c>
      <c r="C30" s="289">
        <v>0</v>
      </c>
      <c r="D30" s="289">
        <v>0</v>
      </c>
      <c r="E30" s="325">
        <v>0.5</v>
      </c>
      <c r="F30" s="289">
        <v>0</v>
      </c>
      <c r="G30" s="289">
        <f>G5*0</f>
        <v>0</v>
      </c>
      <c r="H30" s="296">
        <f t="shared" ref="H30:H38" si="0">F30*8760</f>
        <v>0</v>
      </c>
      <c r="I30" s="289">
        <v>1408170</v>
      </c>
      <c r="J30" s="289">
        <f>H30-I30</f>
        <v>-1408170</v>
      </c>
      <c r="K30" s="325">
        <f>J30/I30</f>
        <v>-1</v>
      </c>
      <c r="L30" s="290" t="s">
        <v>675</v>
      </c>
      <c r="M30" s="290" t="s">
        <v>673</v>
      </c>
    </row>
    <row r="31" spans="1:13" ht="43.5" x14ac:dyDescent="0.35">
      <c r="A31" s="292" t="s">
        <v>606</v>
      </c>
      <c r="B31" s="43" t="s">
        <v>607</v>
      </c>
      <c r="C31" s="706">
        <v>12458</v>
      </c>
      <c r="D31" s="289">
        <f>C31/24</f>
        <v>519.08333333333337</v>
      </c>
      <c r="E31" s="325">
        <v>1</v>
      </c>
      <c r="F31" s="289">
        <f t="shared" ref="F31:F36" si="1">D31*E31</f>
        <v>519.08333333333337</v>
      </c>
      <c r="G31" s="554">
        <f>F31*2</f>
        <v>1038.1666666666667</v>
      </c>
      <c r="H31" s="296">
        <f>F31*8760</f>
        <v>4547170</v>
      </c>
      <c r="I31" s="289">
        <v>2423782.5</v>
      </c>
      <c r="J31" s="289">
        <f t="shared" ref="J31:J38" si="2">H31-I31</f>
        <v>2123387.5</v>
      </c>
      <c r="K31" s="325">
        <f t="shared" ref="K31:K35" si="3">J31/I31</f>
        <v>0.87606354943151876</v>
      </c>
      <c r="L31" s="290" t="s">
        <v>675</v>
      </c>
      <c r="M31" s="290" t="s">
        <v>737</v>
      </c>
    </row>
    <row r="32" spans="1:13" ht="29" x14ac:dyDescent="0.35">
      <c r="A32" s="292"/>
      <c r="B32" s="43" t="s">
        <v>608</v>
      </c>
      <c r="C32" s="289">
        <v>0</v>
      </c>
      <c r="D32" s="289">
        <v>0</v>
      </c>
      <c r="E32" s="325">
        <v>0</v>
      </c>
      <c r="F32" s="289">
        <f t="shared" si="1"/>
        <v>0</v>
      </c>
      <c r="G32" s="289">
        <f>D32</f>
        <v>0</v>
      </c>
      <c r="H32" s="296">
        <f t="shared" si="0"/>
        <v>0</v>
      </c>
      <c r="I32" s="289">
        <v>0</v>
      </c>
      <c r="J32" s="289">
        <f t="shared" si="2"/>
        <v>0</v>
      </c>
      <c r="K32" s="325" t="s">
        <v>155</v>
      </c>
      <c r="L32" s="290" t="s">
        <v>609</v>
      </c>
      <c r="M32" s="290" t="s">
        <v>674</v>
      </c>
    </row>
    <row r="33" spans="1:13" ht="87" x14ac:dyDescent="0.35">
      <c r="A33" s="293" t="s">
        <v>610</v>
      </c>
      <c r="B33" s="43" t="s">
        <v>611</v>
      </c>
      <c r="C33" s="289">
        <f>D33*24</f>
        <v>15240</v>
      </c>
      <c r="D33" s="289">
        <v>635</v>
      </c>
      <c r="E33" s="325">
        <v>1</v>
      </c>
      <c r="F33" s="289">
        <f t="shared" si="1"/>
        <v>635</v>
      </c>
      <c r="G33" s="289">
        <f>855+22+114+7.41+7.5+0.37+0.37+1+15+2+2+1.1+1.1+1.1+1.1</f>
        <v>1031.0499999999997</v>
      </c>
      <c r="H33" s="296">
        <f>F33*8760</f>
        <v>5562600</v>
      </c>
      <c r="I33" s="289">
        <v>5710366</v>
      </c>
      <c r="J33" s="289">
        <f t="shared" si="2"/>
        <v>-147766</v>
      </c>
      <c r="K33" s="325">
        <f t="shared" ref="K33" si="4">J33/I33</f>
        <v>-2.5876800191091079E-2</v>
      </c>
      <c r="L33" s="290" t="s">
        <v>612</v>
      </c>
      <c r="M33" s="290" t="s">
        <v>778</v>
      </c>
    </row>
    <row r="34" spans="1:13" ht="43.5" x14ac:dyDescent="0.35">
      <c r="A34" s="288" t="s">
        <v>599</v>
      </c>
      <c r="B34" s="43" t="s">
        <v>422</v>
      </c>
      <c r="C34" s="289">
        <f t="shared" ref="C34:C38" si="5">D34*24</f>
        <v>10464</v>
      </c>
      <c r="D34" s="289">
        <v>436</v>
      </c>
      <c r="E34" s="325">
        <f>Summary!C18</f>
        <v>1</v>
      </c>
      <c r="F34" s="289">
        <f t="shared" si="1"/>
        <v>436</v>
      </c>
      <c r="G34" s="289">
        <v>436</v>
      </c>
      <c r="H34" s="296">
        <f>F34*8760</f>
        <v>3819360</v>
      </c>
      <c r="I34" s="289">
        <v>3448631</v>
      </c>
      <c r="J34" s="289">
        <f t="shared" si="2"/>
        <v>370729</v>
      </c>
      <c r="K34" s="325">
        <f t="shared" si="3"/>
        <v>0.10750033854013376</v>
      </c>
      <c r="L34" s="290" t="s">
        <v>612</v>
      </c>
      <c r="M34" s="291" t="s">
        <v>764</v>
      </c>
    </row>
    <row r="35" spans="1:13" ht="43.5" x14ac:dyDescent="0.35">
      <c r="A35" s="288" t="s">
        <v>599</v>
      </c>
      <c r="B35" s="43" t="s">
        <v>421</v>
      </c>
      <c r="C35" s="289">
        <f t="shared" si="5"/>
        <v>4800</v>
      </c>
      <c r="D35" s="289">
        <v>200</v>
      </c>
      <c r="E35" s="325">
        <v>0.95</v>
      </c>
      <c r="F35" s="289">
        <f t="shared" si="1"/>
        <v>190</v>
      </c>
      <c r="G35" s="289">
        <f>250+2.9+2.2+1.8+2.1+0.1+1+1.8+10+1+10+22</f>
        <v>304.90000000000003</v>
      </c>
      <c r="H35" s="296">
        <f>F35*8760</f>
        <v>1664400</v>
      </c>
      <c r="I35" s="289">
        <v>2078069</v>
      </c>
      <c r="J35" s="289">
        <f t="shared" si="2"/>
        <v>-413669</v>
      </c>
      <c r="K35" s="325">
        <f t="shared" si="3"/>
        <v>-0.19906413117177535</v>
      </c>
      <c r="L35" s="290" t="s">
        <v>605</v>
      </c>
      <c r="M35" s="290"/>
    </row>
    <row r="36" spans="1:13" ht="29" x14ac:dyDescent="0.35">
      <c r="A36" s="293" t="s">
        <v>614</v>
      </c>
      <c r="B36" s="43" t="s">
        <v>615</v>
      </c>
      <c r="C36" s="289">
        <f>D36*24</f>
        <v>804</v>
      </c>
      <c r="D36" s="289">
        <v>33.5</v>
      </c>
      <c r="E36" s="325">
        <v>1</v>
      </c>
      <c r="F36" s="289">
        <f t="shared" si="1"/>
        <v>33.5</v>
      </c>
      <c r="G36" s="289">
        <f>D36*1.33</f>
        <v>44.555</v>
      </c>
      <c r="H36" s="296">
        <f t="shared" ref="H36" si="6">F36*8760</f>
        <v>293460</v>
      </c>
      <c r="I36" s="289">
        <v>0</v>
      </c>
      <c r="J36" s="289">
        <f t="shared" si="2"/>
        <v>293460</v>
      </c>
      <c r="K36" s="325" t="s">
        <v>155</v>
      </c>
      <c r="L36" s="290" t="s">
        <v>609</v>
      </c>
      <c r="M36" s="290" t="s">
        <v>616</v>
      </c>
    </row>
    <row r="37" spans="1:13" ht="29" x14ac:dyDescent="0.35">
      <c r="A37" s="293" t="s">
        <v>614</v>
      </c>
      <c r="B37" s="43" t="s">
        <v>617</v>
      </c>
      <c r="C37" s="289">
        <f t="shared" si="5"/>
        <v>2400</v>
      </c>
      <c r="D37" s="289">
        <v>100</v>
      </c>
      <c r="E37" s="325">
        <v>0.5</v>
      </c>
      <c r="F37" s="289">
        <f t="shared" ref="F37:F38" si="7">D37*E37</f>
        <v>50</v>
      </c>
      <c r="G37" s="289">
        <f>D37</f>
        <v>100</v>
      </c>
      <c r="H37" s="296">
        <f t="shared" si="0"/>
        <v>438000</v>
      </c>
      <c r="I37" s="289">
        <v>0</v>
      </c>
      <c r="J37" s="289">
        <f t="shared" si="2"/>
        <v>438000</v>
      </c>
      <c r="K37" s="325" t="s">
        <v>155</v>
      </c>
      <c r="L37" s="290" t="s">
        <v>609</v>
      </c>
      <c r="M37" s="291"/>
    </row>
    <row r="38" spans="1:13" x14ac:dyDescent="0.35">
      <c r="A38" s="294" t="s">
        <v>389</v>
      </c>
      <c r="B38" s="43" t="s">
        <v>389</v>
      </c>
      <c r="C38" s="289">
        <f t="shared" si="5"/>
        <v>2400</v>
      </c>
      <c r="D38" s="289">
        <v>100</v>
      </c>
      <c r="E38" s="327">
        <v>0.5</v>
      </c>
      <c r="F38" s="289">
        <f t="shared" si="7"/>
        <v>50</v>
      </c>
      <c r="G38" s="289">
        <f>D38</f>
        <v>100</v>
      </c>
      <c r="H38" s="296">
        <f t="shared" si="0"/>
        <v>438000</v>
      </c>
      <c r="I38" s="289">
        <v>0</v>
      </c>
      <c r="J38" s="289">
        <f t="shared" si="2"/>
        <v>438000</v>
      </c>
      <c r="K38" s="325" t="s">
        <v>155</v>
      </c>
      <c r="L38" s="290" t="s">
        <v>609</v>
      </c>
      <c r="M38" s="291"/>
    </row>
    <row r="39" spans="1:13" x14ac:dyDescent="0.35">
      <c r="A39" s="294"/>
      <c r="B39" s="284" t="s">
        <v>423</v>
      </c>
      <c r="C39" s="295"/>
      <c r="D39" s="296">
        <f>SUM(D30:D38)</f>
        <v>2023.5833333333335</v>
      </c>
      <c r="E39" s="296"/>
      <c r="F39" s="296">
        <f>SUM(F30:F38)</f>
        <v>1913.5833333333335</v>
      </c>
      <c r="G39" s="296">
        <f>SUM(G30:G38)</f>
        <v>3054.6716666666662</v>
      </c>
      <c r="H39" s="326">
        <f>SUM(H30:H38)</f>
        <v>16762990</v>
      </c>
      <c r="I39" s="296">
        <f>SUM(I30:I38)</f>
        <v>15069018.5</v>
      </c>
      <c r="J39" s="296">
        <f>SUM(J30:J38)</f>
        <v>1693971.5</v>
      </c>
      <c r="K39" s="325">
        <f>J39/I39</f>
        <v>0.1124141894178443</v>
      </c>
      <c r="L39" s="290"/>
      <c r="M39" s="291"/>
    </row>
    <row r="40" spans="1:13" x14ac:dyDescent="0.35">
      <c r="A40" s="45"/>
      <c r="B40" s="45"/>
      <c r="C40" s="297"/>
      <c r="H40" s="298"/>
      <c r="I40" s="298"/>
      <c r="J40" s="299"/>
      <c r="K40" s="299"/>
      <c r="L40" s="299"/>
      <c r="M40" s="300"/>
    </row>
    <row r="41" spans="1:13" x14ac:dyDescent="0.35">
      <c r="A41" s="45"/>
      <c r="B41" s="45"/>
      <c r="C41" s="297"/>
      <c r="D41" s="298"/>
      <c r="E41" s="298"/>
      <c r="F41" s="298"/>
      <c r="G41" s="298"/>
      <c r="H41" s="298"/>
      <c r="I41" s="298"/>
      <c r="J41" s="298"/>
      <c r="K41" s="298"/>
      <c r="L41" s="299"/>
      <c r="M41" s="300"/>
    </row>
  </sheetData>
  <phoneticPr fontId="26" type="noConversion"/>
  <pageMargins left="0.25" right="0.25" top="0.75" bottom="0.75" header="0.3" footer="0.3"/>
  <pageSetup paperSize="9" scale="24"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76C0-4A57-4920-9E85-19ECC68F77C0}">
  <sheetPr>
    <tabColor rgb="FF00B0F0"/>
  </sheetPr>
  <dimension ref="A1:M43"/>
  <sheetViews>
    <sheetView tabSelected="1" zoomScaleNormal="100" workbookViewId="0">
      <selection activeCell="E23" sqref="E23"/>
    </sheetView>
  </sheetViews>
  <sheetFormatPr defaultRowHeight="14.5" x14ac:dyDescent="0.35"/>
  <cols>
    <col min="1" max="1" width="12" bestFit="1" customWidth="1"/>
    <col min="2" max="2" width="22.54296875" customWidth="1"/>
    <col min="3" max="3" width="18.54296875" customWidth="1"/>
    <col min="4" max="4" width="22.7265625" customWidth="1"/>
    <col min="5" max="5" width="23" customWidth="1"/>
    <col min="6" max="6" width="19.453125" style="631" hidden="1" customWidth="1"/>
    <col min="7" max="7" width="20.54296875" style="634" customWidth="1"/>
    <col min="8" max="8" width="17.81640625" customWidth="1"/>
    <col min="9" max="9" width="32" style="634" customWidth="1"/>
    <col min="10" max="10" width="19.81640625" style="629" customWidth="1"/>
    <col min="11" max="11" width="19.54296875" style="629" customWidth="1"/>
    <col min="12" max="12" width="16.1796875" customWidth="1"/>
    <col min="13" max="13" width="16.81640625" customWidth="1"/>
    <col min="14" max="14" width="14.54296875" customWidth="1"/>
    <col min="15" max="15" width="20.1796875" customWidth="1"/>
  </cols>
  <sheetData>
    <row r="1" spans="1:13" x14ac:dyDescent="0.35">
      <c r="F1"/>
      <c r="G1"/>
      <c r="I1"/>
      <c r="J1"/>
      <c r="K1"/>
    </row>
    <row r="2" spans="1:13" ht="30" customHeight="1" x14ac:dyDescent="0.35">
      <c r="F2"/>
      <c r="G2"/>
      <c r="I2"/>
      <c r="J2"/>
      <c r="K2" s="680" t="s">
        <v>349</v>
      </c>
      <c r="L2" s="680" t="s">
        <v>350</v>
      </c>
      <c r="M2" s="680"/>
    </row>
    <row r="3" spans="1:13" s="623" customFormat="1" ht="48" customHeight="1" x14ac:dyDescent="0.35">
      <c r="B3" s="677" t="s">
        <v>790</v>
      </c>
      <c r="C3" s="677" t="s">
        <v>791</v>
      </c>
      <c r="D3" s="678" t="s">
        <v>784</v>
      </c>
      <c r="E3" s="678" t="s">
        <v>783</v>
      </c>
      <c r="F3" s="678" t="s">
        <v>822</v>
      </c>
      <c r="G3" s="678" t="s">
        <v>779</v>
      </c>
      <c r="H3" s="678" t="s">
        <v>798</v>
      </c>
      <c r="I3" s="678" t="s">
        <v>397</v>
      </c>
      <c r="J3" s="679" t="s">
        <v>792</v>
      </c>
      <c r="K3" s="681" t="s">
        <v>785</v>
      </c>
      <c r="L3" s="681" t="s">
        <v>786</v>
      </c>
      <c r="M3" s="681" t="s">
        <v>782</v>
      </c>
    </row>
    <row r="4" spans="1:13" x14ac:dyDescent="0.35">
      <c r="B4" s="156" t="s">
        <v>793</v>
      </c>
      <c r="C4" s="156"/>
      <c r="D4" s="156"/>
      <c r="E4" s="156"/>
      <c r="F4" s="156"/>
      <c r="G4" s="156"/>
      <c r="H4" s="156"/>
      <c r="I4" s="156"/>
      <c r="J4" s="156"/>
      <c r="K4" s="156"/>
      <c r="L4" s="156"/>
      <c r="M4" s="156"/>
    </row>
    <row r="5" spans="1:13" x14ac:dyDescent="0.35">
      <c r="B5" s="719" t="str">
        <f>'Feed + carbon calculator'!A3</f>
        <v>Rye Silage</v>
      </c>
      <c r="C5" s="720">
        <v>2250</v>
      </c>
      <c r="D5" s="736">
        <f>1.6*E5</f>
        <v>16</v>
      </c>
      <c r="E5" s="635">
        <v>10</v>
      </c>
      <c r="F5" s="682">
        <v>60</v>
      </c>
      <c r="G5" s="721" t="s">
        <v>341</v>
      </c>
      <c r="H5" s="721">
        <f>IF(G5="HGV",24,14)</f>
        <v>24</v>
      </c>
      <c r="I5" s="683" t="s">
        <v>781</v>
      </c>
      <c r="J5" s="633">
        <f>C5/H5</f>
        <v>93.75</v>
      </c>
      <c r="K5" s="628">
        <f t="shared" ref="K5:K14" si="0">IF(G5="","",_xlfn.XLOOKUP(G5&amp;" 100% Laden",$C$34:$C$38,$D$34:$D$38))</f>
        <v>1.68059</v>
      </c>
      <c r="L5" s="628">
        <f t="shared" ref="L5:L14" si="1">IF(G5="","",IF(I5="Full both ways",K5,_xlfn.XLOOKUP(G5&amp;" 0% Laden",$C$34:$C$38,$D$34:$D$38)))</f>
        <v>1.68059</v>
      </c>
      <c r="M5" s="625">
        <f>IFERROR(($K5+$L5)*$E5*J5,0)</f>
        <v>3151.1062500000003</v>
      </c>
    </row>
    <row r="6" spans="1:13" x14ac:dyDescent="0.35">
      <c r="B6" s="719" t="str">
        <f>'Feed + carbon calculator'!A3</f>
        <v>Rye Silage</v>
      </c>
      <c r="C6" s="720">
        <v>12750</v>
      </c>
      <c r="D6" s="736">
        <f t="shared" ref="D6:D14" si="2">1.6*E6</f>
        <v>16</v>
      </c>
      <c r="E6" s="635">
        <v>10</v>
      </c>
      <c r="F6" s="682">
        <v>60</v>
      </c>
      <c r="G6" s="721" t="s">
        <v>342</v>
      </c>
      <c r="H6" s="721">
        <f t="shared" ref="H6:H12" si="3">IF(G6="HGV",24,14)</f>
        <v>14</v>
      </c>
      <c r="I6" s="683" t="s">
        <v>781</v>
      </c>
      <c r="J6" s="633">
        <f t="shared" ref="J6:J13" si="4">C6/H6</f>
        <v>910.71428571428567</v>
      </c>
      <c r="K6" s="628">
        <f t="shared" ref="K6:K14" si="5">IF(G6="","",_xlfn.XLOOKUP(G6&amp;" 100% Laden",$C$34:$C$38,$D$34:$D$38))</f>
        <v>1.72898</v>
      </c>
      <c r="L6" s="628">
        <f t="shared" ref="L6:L14" si="6">IF(G6="","",IF(I6="Full both ways",K6,_xlfn.XLOOKUP(G6&amp;" 0% Laden",$C$34:$C$38,$D$34:$D$38)))</f>
        <v>1.72898</v>
      </c>
      <c r="M6" s="625">
        <f t="shared" ref="M6:M14" si="7">IFERROR(($K6+$L6)*$E6*J6,0)</f>
        <v>31492.135714285712</v>
      </c>
    </row>
    <row r="7" spans="1:13" x14ac:dyDescent="0.35">
      <c r="B7" s="719" t="str">
        <f>'Feed + carbon calculator'!A4</f>
        <v>Maize</v>
      </c>
      <c r="C7" s="720">
        <v>1800</v>
      </c>
      <c r="D7" s="736">
        <f t="shared" si="2"/>
        <v>16</v>
      </c>
      <c r="E7" s="635">
        <v>10</v>
      </c>
      <c r="F7" s="682"/>
      <c r="G7" s="721" t="s">
        <v>341</v>
      </c>
      <c r="H7" s="721">
        <f t="shared" si="3"/>
        <v>24</v>
      </c>
      <c r="I7" s="683" t="s">
        <v>781</v>
      </c>
      <c r="J7" s="633">
        <f t="shared" si="4"/>
        <v>75</v>
      </c>
      <c r="K7" s="628">
        <f t="shared" si="5"/>
        <v>1.68059</v>
      </c>
      <c r="L7" s="628">
        <f t="shared" si="6"/>
        <v>1.68059</v>
      </c>
      <c r="M7" s="625">
        <f t="shared" si="7"/>
        <v>2520.8850000000002</v>
      </c>
    </row>
    <row r="8" spans="1:13" x14ac:dyDescent="0.35">
      <c r="B8" s="719" t="str">
        <f>'Feed + carbon calculator'!A4</f>
        <v>Maize</v>
      </c>
      <c r="C8" s="720">
        <v>10200</v>
      </c>
      <c r="D8" s="736">
        <f t="shared" si="2"/>
        <v>16</v>
      </c>
      <c r="E8" s="635">
        <v>10</v>
      </c>
      <c r="F8" s="682"/>
      <c r="G8" s="721" t="s">
        <v>342</v>
      </c>
      <c r="H8" s="721">
        <f t="shared" si="3"/>
        <v>14</v>
      </c>
      <c r="I8" s="683" t="s">
        <v>781</v>
      </c>
      <c r="J8" s="633">
        <f t="shared" si="4"/>
        <v>728.57142857142856</v>
      </c>
      <c r="K8" s="628">
        <f t="shared" si="5"/>
        <v>1.72898</v>
      </c>
      <c r="L8" s="628">
        <f t="shared" si="6"/>
        <v>1.72898</v>
      </c>
      <c r="M8" s="625">
        <f t="shared" si="7"/>
        <v>25193.708571428571</v>
      </c>
    </row>
    <row r="9" spans="1:13" x14ac:dyDescent="0.35">
      <c r="B9" s="719" t="str">
        <f>'Feed + carbon calculator'!A5</f>
        <v>Grass Silage</v>
      </c>
      <c r="C9" s="720">
        <v>2100</v>
      </c>
      <c r="D9" s="736">
        <f t="shared" si="2"/>
        <v>16</v>
      </c>
      <c r="E9" s="635">
        <v>10</v>
      </c>
      <c r="F9" s="682">
        <v>60</v>
      </c>
      <c r="G9" s="721" t="s">
        <v>341</v>
      </c>
      <c r="H9" s="721">
        <f t="shared" si="3"/>
        <v>24</v>
      </c>
      <c r="I9" s="683" t="s">
        <v>781</v>
      </c>
      <c r="J9" s="633">
        <f t="shared" si="4"/>
        <v>87.5</v>
      </c>
      <c r="K9" s="628">
        <f t="shared" si="5"/>
        <v>1.68059</v>
      </c>
      <c r="L9" s="628">
        <f t="shared" si="6"/>
        <v>1.68059</v>
      </c>
      <c r="M9" s="625">
        <f t="shared" si="7"/>
        <v>2941.0325000000003</v>
      </c>
    </row>
    <row r="10" spans="1:13" x14ac:dyDescent="0.35">
      <c r="B10" s="719" t="s">
        <v>141</v>
      </c>
      <c r="C10" s="720">
        <v>11900</v>
      </c>
      <c r="D10" s="736">
        <f t="shared" si="2"/>
        <v>16</v>
      </c>
      <c r="E10" s="635">
        <v>10</v>
      </c>
      <c r="F10" s="682"/>
      <c r="G10" s="721" t="s">
        <v>342</v>
      </c>
      <c r="H10" s="721">
        <f t="shared" si="3"/>
        <v>14</v>
      </c>
      <c r="I10" s="683" t="s">
        <v>781</v>
      </c>
      <c r="J10" s="633">
        <f t="shared" si="4"/>
        <v>850</v>
      </c>
      <c r="K10" s="628">
        <f t="shared" si="5"/>
        <v>1.72898</v>
      </c>
      <c r="L10" s="628">
        <f t="shared" si="6"/>
        <v>1.72898</v>
      </c>
      <c r="M10" s="625">
        <f t="shared" si="7"/>
        <v>29392.66</v>
      </c>
    </row>
    <row r="11" spans="1:13" x14ac:dyDescent="0.35">
      <c r="B11" s="719" t="str">
        <f>'Feed + carbon calculator'!A6</f>
        <v>Straw</v>
      </c>
      <c r="C11" s="720">
        <f>'Feed + carbon calculator'!C6</f>
        <v>20000</v>
      </c>
      <c r="D11" s="736">
        <f t="shared" si="2"/>
        <v>16</v>
      </c>
      <c r="E11" s="635">
        <v>10</v>
      </c>
      <c r="F11" s="682">
        <v>60</v>
      </c>
      <c r="G11" s="721" t="s">
        <v>341</v>
      </c>
      <c r="H11" s="721">
        <f t="shared" si="3"/>
        <v>24</v>
      </c>
      <c r="I11" s="683" t="s">
        <v>867</v>
      </c>
      <c r="J11" s="633">
        <f t="shared" si="4"/>
        <v>833.33333333333337</v>
      </c>
      <c r="K11" s="628">
        <f t="shared" si="5"/>
        <v>1.68059</v>
      </c>
      <c r="L11" s="628">
        <f t="shared" si="6"/>
        <v>1.0177</v>
      </c>
      <c r="M11" s="625">
        <f t="shared" si="7"/>
        <v>22485.75</v>
      </c>
    </row>
    <row r="12" spans="1:13" x14ac:dyDescent="0.35">
      <c r="B12" s="719" t="str">
        <f>'Feed + carbon calculator'!A7</f>
        <v>Farm Yard Manure</v>
      </c>
      <c r="C12" s="720">
        <f>'Feed + carbon calculator'!C7</f>
        <v>10000</v>
      </c>
      <c r="D12" s="736">
        <f t="shared" si="2"/>
        <v>16</v>
      </c>
      <c r="E12" s="635">
        <v>10</v>
      </c>
      <c r="F12" s="682">
        <v>75</v>
      </c>
      <c r="G12" s="721" t="s">
        <v>342</v>
      </c>
      <c r="H12" s="721">
        <f t="shared" si="3"/>
        <v>14</v>
      </c>
      <c r="I12" s="683" t="s">
        <v>780</v>
      </c>
      <c r="J12" s="633">
        <f t="shared" si="4"/>
        <v>714.28571428571433</v>
      </c>
      <c r="K12" s="628">
        <f t="shared" si="5"/>
        <v>1.72898</v>
      </c>
      <c r="L12" s="628">
        <f t="shared" si="6"/>
        <v>1.2068099999999999</v>
      </c>
      <c r="M12" s="625">
        <f t="shared" si="7"/>
        <v>20969.928571428572</v>
      </c>
    </row>
    <row r="13" spans="1:13" x14ac:dyDescent="0.35">
      <c r="B13" s="719" t="str">
        <f>'Feed + carbon calculator'!A8</f>
        <v>Poultry Manure</v>
      </c>
      <c r="C13" s="720">
        <f>'Feed + carbon calculator'!C8</f>
        <v>15000</v>
      </c>
      <c r="D13" s="736">
        <f t="shared" si="2"/>
        <v>16</v>
      </c>
      <c r="E13" s="635">
        <v>10</v>
      </c>
      <c r="F13" s="682">
        <v>75</v>
      </c>
      <c r="G13" s="721" t="s">
        <v>341</v>
      </c>
      <c r="H13" s="721">
        <v>26</v>
      </c>
      <c r="I13" s="683" t="s">
        <v>780</v>
      </c>
      <c r="J13" s="633">
        <f t="shared" si="4"/>
        <v>576.92307692307691</v>
      </c>
      <c r="K13" s="628">
        <f t="shared" si="5"/>
        <v>1.68059</v>
      </c>
      <c r="L13" s="628">
        <f t="shared" si="6"/>
        <v>1.0177</v>
      </c>
      <c r="M13" s="625">
        <f t="shared" si="7"/>
        <v>15567.057692307691</v>
      </c>
    </row>
    <row r="14" spans="1:13" x14ac:dyDescent="0.35">
      <c r="B14" s="719" t="str">
        <f>'Feed + carbon calculator'!A9</f>
        <v xml:space="preserve">Dairy Slurry </v>
      </c>
      <c r="C14" s="720">
        <f>'Feed + carbon calculator'!C9</f>
        <v>5000</v>
      </c>
      <c r="D14" s="736">
        <f t="shared" si="2"/>
        <v>16</v>
      </c>
      <c r="E14" s="635">
        <v>10</v>
      </c>
      <c r="F14" s="682">
        <v>75</v>
      </c>
      <c r="G14" s="721" t="s">
        <v>341</v>
      </c>
      <c r="H14" s="721">
        <v>25</v>
      </c>
      <c r="I14" s="683" t="s">
        <v>780</v>
      </c>
      <c r="J14" s="633">
        <f>C14/H14</f>
        <v>200</v>
      </c>
      <c r="K14" s="628">
        <f t="shared" si="5"/>
        <v>1.68059</v>
      </c>
      <c r="L14" s="628">
        <f t="shared" si="6"/>
        <v>1.0177</v>
      </c>
      <c r="M14" s="625">
        <f t="shared" si="7"/>
        <v>5396.58</v>
      </c>
    </row>
    <row r="15" spans="1:13" x14ac:dyDescent="0.35">
      <c r="A15" s="640"/>
      <c r="B15" s="156" t="s">
        <v>794</v>
      </c>
      <c r="C15" s="156"/>
      <c r="D15" s="156"/>
      <c r="E15" s="156"/>
      <c r="F15" s="684"/>
      <c r="G15" s="156"/>
      <c r="H15" s="156"/>
      <c r="I15" s="156"/>
      <c r="J15" s="156"/>
      <c r="K15" s="156"/>
      <c r="L15" s="156"/>
      <c r="M15" s="156"/>
    </row>
    <row r="16" spans="1:13" x14ac:dyDescent="0.35">
      <c r="A16" s="640"/>
      <c r="B16" s="624" t="s">
        <v>789</v>
      </c>
      <c r="C16" s="726">
        <v>50676</v>
      </c>
      <c r="D16" s="724">
        <f>1.6*E16</f>
        <v>16</v>
      </c>
      <c r="E16" s="635">
        <v>10</v>
      </c>
      <c r="F16" s="682">
        <v>70</v>
      </c>
      <c r="G16" s="626" t="s">
        <v>341</v>
      </c>
      <c r="H16" s="626">
        <v>27</v>
      </c>
      <c r="I16" s="630" t="s">
        <v>780</v>
      </c>
      <c r="J16" s="633">
        <f t="shared" ref="J16:J19" si="8">IFERROR(C16/H16,0)</f>
        <v>1876.8888888888889</v>
      </c>
      <c r="K16" s="628">
        <f t="shared" ref="K16:K22" si="9">IF(G16="","",_xlfn.XLOOKUP(G16&amp;" 100% Laden",$C$34:$C$38,$D$34:$D$38))</f>
        <v>1.68059</v>
      </c>
      <c r="L16" s="628">
        <f t="shared" ref="L16:L22" si="10">IF(G16="","",IF(I16="Full both ways",K16,_xlfn.XLOOKUP(G16&amp;" 0% Laden",$C$34:$C$38,$D$34:$D$38)))</f>
        <v>1.0177</v>
      </c>
      <c r="M16" s="625">
        <f t="shared" ref="M16:M22" si="11">($K16+$L16)*$E16*J16</f>
        <v>50643.905200000001</v>
      </c>
    </row>
    <row r="17" spans="1:13" x14ac:dyDescent="0.35">
      <c r="A17" s="640"/>
      <c r="B17" s="624" t="s">
        <v>789</v>
      </c>
      <c r="C17" s="726">
        <v>16892</v>
      </c>
      <c r="D17" s="724">
        <f t="shared" ref="D17:D19" si="12">1.6*E17</f>
        <v>16</v>
      </c>
      <c r="E17" s="635">
        <v>10</v>
      </c>
      <c r="F17" s="682">
        <v>70</v>
      </c>
      <c r="G17" s="626" t="s">
        <v>342</v>
      </c>
      <c r="H17" s="626">
        <v>14</v>
      </c>
      <c r="I17" s="630" t="s">
        <v>780</v>
      </c>
      <c r="J17" s="633">
        <f t="shared" si="8"/>
        <v>1206.5714285714287</v>
      </c>
      <c r="K17" s="628">
        <f t="shared" ref="K17:K19" si="13">IF(G17="","",_xlfn.XLOOKUP(G17&amp;" 100% Laden",$C$34:$C$38,$D$34:$D$38))</f>
        <v>1.72898</v>
      </c>
      <c r="L17" s="628">
        <f t="shared" ref="L17:L19" si="14">IF(G17="","",IF(I17="Full both ways",K17,_xlfn.XLOOKUP(G17&amp;" 0% Laden",$C$34:$C$38,$D$34:$D$38)))</f>
        <v>1.2068099999999999</v>
      </c>
      <c r="M17" s="625">
        <f t="shared" ref="M17:M19" si="15">($K17+$L17)*$E17*J17</f>
        <v>35422.403342857149</v>
      </c>
    </row>
    <row r="18" spans="1:13" x14ac:dyDescent="0.35">
      <c r="B18" s="624" t="s">
        <v>825</v>
      </c>
      <c r="C18" s="726">
        <v>17414</v>
      </c>
      <c r="D18" s="724">
        <f t="shared" si="12"/>
        <v>16</v>
      </c>
      <c r="E18" s="635">
        <v>10</v>
      </c>
      <c r="F18" s="682"/>
      <c r="G18" s="626" t="s">
        <v>341</v>
      </c>
      <c r="H18" s="626">
        <v>24</v>
      </c>
      <c r="I18" s="630" t="s">
        <v>780</v>
      </c>
      <c r="J18" s="633">
        <f t="shared" si="8"/>
        <v>725.58333333333337</v>
      </c>
      <c r="K18" s="628">
        <f t="shared" si="13"/>
        <v>1.68059</v>
      </c>
      <c r="L18" s="628">
        <f t="shared" si="14"/>
        <v>1.0177</v>
      </c>
      <c r="M18" s="625">
        <f t="shared" si="15"/>
        <v>19578.342525</v>
      </c>
    </row>
    <row r="19" spans="1:13" x14ac:dyDescent="0.35">
      <c r="B19" s="624" t="s">
        <v>825</v>
      </c>
      <c r="C19" s="726">
        <v>32341</v>
      </c>
      <c r="D19" s="724">
        <f t="shared" si="12"/>
        <v>16</v>
      </c>
      <c r="E19" s="635">
        <v>10</v>
      </c>
      <c r="F19" s="682">
        <v>70</v>
      </c>
      <c r="G19" s="626" t="s">
        <v>342</v>
      </c>
      <c r="H19" s="626">
        <v>14</v>
      </c>
      <c r="I19" s="630" t="s">
        <v>780</v>
      </c>
      <c r="J19" s="633">
        <f t="shared" si="8"/>
        <v>2310.0714285714284</v>
      </c>
      <c r="K19" s="628">
        <f t="shared" si="13"/>
        <v>1.72898</v>
      </c>
      <c r="L19" s="628">
        <f t="shared" si="14"/>
        <v>1.2068099999999999</v>
      </c>
      <c r="M19" s="625">
        <f t="shared" si="15"/>
        <v>67818.845992857139</v>
      </c>
    </row>
    <row r="20" spans="1:13" ht="15" customHeight="1" x14ac:dyDescent="0.35">
      <c r="B20" s="156" t="s">
        <v>827</v>
      </c>
      <c r="F20"/>
      <c r="G20"/>
      <c r="I20"/>
      <c r="J20"/>
      <c r="K20"/>
    </row>
    <row r="21" spans="1:13" x14ac:dyDescent="0.35">
      <c r="B21" s="624" t="s">
        <v>284</v>
      </c>
      <c r="C21" s="726">
        <v>9815904</v>
      </c>
      <c r="D21" s="725">
        <f>E21*1.6</f>
        <v>80</v>
      </c>
      <c r="E21" s="635">
        <v>50</v>
      </c>
      <c r="F21" s="682">
        <v>0</v>
      </c>
      <c r="G21" s="626" t="s">
        <v>341</v>
      </c>
      <c r="H21" s="639">
        <v>12500</v>
      </c>
      <c r="I21" s="630" t="s">
        <v>780</v>
      </c>
      <c r="J21" s="633">
        <f>C21/H21</f>
        <v>785.27232000000004</v>
      </c>
      <c r="K21" s="628">
        <f t="shared" si="9"/>
        <v>1.68059</v>
      </c>
      <c r="L21" s="628">
        <f t="shared" si="10"/>
        <v>1.0177</v>
      </c>
      <c r="M21" s="625">
        <f t="shared" si="11"/>
        <v>105944.62241664001</v>
      </c>
    </row>
    <row r="22" spans="1:13" ht="16.5" x14ac:dyDescent="0.45">
      <c r="B22" s="624" t="s">
        <v>826</v>
      </c>
      <c r="C22" s="726">
        <v>13714103</v>
      </c>
      <c r="D22" s="725">
        <f>E22*1.6</f>
        <v>80</v>
      </c>
      <c r="E22" s="635">
        <v>50</v>
      </c>
      <c r="F22" s="682">
        <v>25</v>
      </c>
      <c r="G22" s="626" t="s">
        <v>341</v>
      </c>
      <c r="H22" s="639">
        <v>25</v>
      </c>
      <c r="I22" s="630" t="s">
        <v>780</v>
      </c>
      <c r="J22" s="633">
        <f>(C22/1000)/H22</f>
        <v>548.56412</v>
      </c>
      <c r="K22" s="628">
        <f t="shared" si="9"/>
        <v>1.68059</v>
      </c>
      <c r="L22" s="628">
        <f t="shared" si="10"/>
        <v>1.0177</v>
      </c>
      <c r="M22" s="625">
        <f t="shared" si="11"/>
        <v>74009.253967740005</v>
      </c>
    </row>
    <row r="23" spans="1:13" x14ac:dyDescent="0.35">
      <c r="B23" s="156" t="s">
        <v>795</v>
      </c>
      <c r="D23" s="676"/>
      <c r="F23"/>
      <c r="G23" s="631"/>
      <c r="H23" s="634"/>
      <c r="I23"/>
      <c r="J23" s="634"/>
      <c r="L23" s="629"/>
    </row>
    <row r="24" spans="1:13" x14ac:dyDescent="0.35">
      <c r="B24" s="624" t="s">
        <v>796</v>
      </c>
      <c r="C24" s="632"/>
      <c r="D24" s="637">
        <v>10</v>
      </c>
      <c r="E24" s="635">
        <f>$D24/1.6</f>
        <v>6.25</v>
      </c>
      <c r="F24" s="635"/>
      <c r="G24" s="626" t="s">
        <v>797</v>
      </c>
      <c r="H24" s="626">
        <f>C24/J24</f>
        <v>0</v>
      </c>
      <c r="I24" s="630" t="s">
        <v>781</v>
      </c>
      <c r="J24" s="633">
        <v>1825</v>
      </c>
      <c r="K24" s="628">
        <f>IF(G24="Car",$D$38,IF(G24="","",_xlfn.XLOOKUP(G24&amp;" 100% Laden",#REF!,#REF!)))</f>
        <v>0.26860000000000001</v>
      </c>
      <c r="L24" s="628">
        <f>IF(G24="Car",$D$38,IF(G24="","",_xlfn.XLOOKUP(G24&amp;" 100% Laden",#REF!,#REF!)))</f>
        <v>0.26860000000000001</v>
      </c>
      <c r="M24" s="625">
        <f>($K24+$L24)*$E24*J24</f>
        <v>6127.4375</v>
      </c>
    </row>
    <row r="25" spans="1:13" x14ac:dyDescent="0.35">
      <c r="F25"/>
      <c r="G25" s="631"/>
      <c r="H25" s="634"/>
      <c r="I25"/>
      <c r="J25" s="634"/>
      <c r="L25" s="629"/>
    </row>
    <row r="26" spans="1:13" x14ac:dyDescent="0.35">
      <c r="C26" s="640"/>
      <c r="F26"/>
      <c r="G26" s="631"/>
      <c r="H26" s="634"/>
      <c r="I26"/>
      <c r="J26" s="636"/>
      <c r="L26" s="629"/>
    </row>
    <row r="27" spans="1:13" ht="15.75" customHeight="1" x14ac:dyDescent="0.35">
      <c r="F27"/>
      <c r="G27" s="631"/>
      <c r="H27" s="634"/>
      <c r="I27"/>
      <c r="J27" s="634"/>
    </row>
    <row r="28" spans="1:13" x14ac:dyDescent="0.35">
      <c r="F28"/>
      <c r="G28" s="631"/>
      <c r="H28" s="634"/>
      <c r="I28"/>
      <c r="J28" s="634"/>
    </row>
    <row r="29" spans="1:13" x14ac:dyDescent="0.35">
      <c r="F29"/>
      <c r="G29" s="631"/>
      <c r="H29" s="634"/>
      <c r="I29"/>
      <c r="J29" s="634"/>
    </row>
    <row r="33" spans="2:7" x14ac:dyDescent="0.35">
      <c r="B33" s="529" t="s">
        <v>779</v>
      </c>
      <c r="C33" s="529" t="s">
        <v>397</v>
      </c>
      <c r="D33" s="627" t="s">
        <v>634</v>
      </c>
      <c r="E33" s="530" t="s">
        <v>799</v>
      </c>
    </row>
    <row r="34" spans="2:7" x14ac:dyDescent="0.35">
      <c r="B34" s="484" t="s">
        <v>341</v>
      </c>
      <c r="C34" s="484" t="s">
        <v>393</v>
      </c>
      <c r="D34" s="485">
        <v>1.68059</v>
      </c>
      <c r="E34" s="531" t="s">
        <v>804</v>
      </c>
    </row>
    <row r="35" spans="2:7" x14ac:dyDescent="0.35">
      <c r="B35" s="484" t="s">
        <v>341</v>
      </c>
      <c r="C35" s="484" t="s">
        <v>394</v>
      </c>
      <c r="D35" s="485">
        <v>1.0177</v>
      </c>
      <c r="E35" s="531" t="s">
        <v>801</v>
      </c>
    </row>
    <row r="36" spans="2:7" x14ac:dyDescent="0.35">
      <c r="B36" s="484" t="s">
        <v>342</v>
      </c>
      <c r="C36" s="484" t="s">
        <v>395</v>
      </c>
      <c r="D36" s="485">
        <v>1.72898</v>
      </c>
      <c r="E36" s="531" t="s">
        <v>802</v>
      </c>
    </row>
    <row r="37" spans="2:7" x14ac:dyDescent="0.35">
      <c r="B37" s="484" t="s">
        <v>342</v>
      </c>
      <c r="C37" s="484" t="s">
        <v>396</v>
      </c>
      <c r="D37" s="485">
        <v>1.2068099999999999</v>
      </c>
      <c r="E37" s="531" t="s">
        <v>803</v>
      </c>
    </row>
    <row r="38" spans="2:7" x14ac:dyDescent="0.35">
      <c r="B38" s="484" t="s">
        <v>797</v>
      </c>
      <c r="C38" s="642" t="s">
        <v>805</v>
      </c>
      <c r="D38" s="485">
        <v>0.26860000000000001</v>
      </c>
      <c r="E38" s="643" t="s">
        <v>806</v>
      </c>
    </row>
    <row r="39" spans="2:7" x14ac:dyDescent="0.35">
      <c r="B39" s="638" t="s">
        <v>800</v>
      </c>
    </row>
    <row r="40" spans="2:7" x14ac:dyDescent="0.35">
      <c r="F40"/>
      <c r="G40"/>
    </row>
    <row r="41" spans="2:7" x14ac:dyDescent="0.35">
      <c r="F41"/>
      <c r="G41"/>
    </row>
    <row r="42" spans="2:7" x14ac:dyDescent="0.35">
      <c r="F42"/>
      <c r="G42"/>
    </row>
    <row r="43" spans="2:7" x14ac:dyDescent="0.35">
      <c r="F43"/>
      <c r="G43"/>
    </row>
  </sheetData>
  <dataValidations count="3">
    <dataValidation type="list" allowBlank="1" showInputMessage="1" showErrorMessage="1" sqref="I1:I3 I5:I14 I29 H30:H1048576 I16:I19 I21:I26" xr:uid="{6885FF99-8280-43DF-946B-169F74AA5691}">
      <formula1>"Full both ways, Full one way empty the other"</formula1>
    </dataValidation>
    <dataValidation type="list" allowBlank="1" showErrorMessage="1" sqref="G5:G14 G21:G24 G16:G19" xr:uid="{04824998-FF4A-44AB-ABBE-3FFD474118D9}">
      <formula1>"HGV, Tractor, Car"</formula1>
    </dataValidation>
    <dataValidation type="list" allowBlank="1" showInputMessage="1" showErrorMessage="1" sqref="B1" xr:uid="{8F1F96AA-EA1C-449C-B733-A362F6E6E61B}">
      <formula1>#REF!</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D3B92-C404-40D5-BE35-BCC27CAF4D32}">
  <sheetPr>
    <tabColor rgb="FFFFC000"/>
  </sheetPr>
  <dimension ref="B5:BV110"/>
  <sheetViews>
    <sheetView topLeftCell="K10" zoomScale="88" zoomScaleNormal="130" workbookViewId="0">
      <selection activeCell="BL29" sqref="BL29"/>
    </sheetView>
  </sheetViews>
  <sheetFormatPr defaultColWidth="8.7265625" defaultRowHeight="14.5" x14ac:dyDescent="0.35"/>
  <cols>
    <col min="1" max="1" width="8.7265625" style="486"/>
    <col min="2" max="2" width="33.81640625" style="486" customWidth="1"/>
    <col min="3" max="17" width="8.54296875" style="517" customWidth="1"/>
    <col min="18" max="55" width="8.54296875" style="517" hidden="1" customWidth="1"/>
    <col min="56" max="57" width="8.7265625" style="486"/>
    <col min="58" max="58" width="19.453125" style="486" customWidth="1"/>
    <col min="59" max="59" width="14.54296875" style="486" customWidth="1"/>
    <col min="60" max="61" width="10.453125" style="486" customWidth="1"/>
    <col min="62" max="63" width="14.453125" style="486" customWidth="1"/>
    <col min="64" max="64" width="16" style="486" customWidth="1"/>
    <col min="65" max="65" width="19.54296875" style="486" customWidth="1"/>
    <col min="66" max="66" width="15.26953125" style="486" customWidth="1"/>
    <col min="67" max="67" width="19.453125" style="486" customWidth="1"/>
    <col min="68" max="68" width="13.54296875" style="486" customWidth="1"/>
    <col min="69" max="69" width="8.81640625" style="486" customWidth="1"/>
    <col min="70" max="70" width="19.54296875" style="486" customWidth="1"/>
    <col min="71" max="71" width="17.453125" style="486" customWidth="1"/>
    <col min="72" max="72" width="16.54296875" style="486" customWidth="1"/>
    <col min="73" max="73" width="15.54296875" style="486" customWidth="1"/>
    <col min="74" max="75" width="8.7265625" style="486"/>
    <col min="76" max="76" width="17.453125" style="486" bestFit="1" customWidth="1"/>
    <col min="77" max="77" width="9.453125" style="486" bestFit="1" customWidth="1"/>
    <col min="78" max="78" width="10.54296875" style="486" bestFit="1" customWidth="1"/>
    <col min="79" max="79" width="7" style="486" bestFit="1" customWidth="1"/>
    <col min="80" max="80" width="16" style="486" bestFit="1" customWidth="1"/>
    <col min="81" max="81" width="18.54296875" style="486" bestFit="1" customWidth="1"/>
    <col min="82" max="16384" width="8.7265625" style="486"/>
  </cols>
  <sheetData>
    <row r="5" spans="2:74" ht="58" x14ac:dyDescent="0.35">
      <c r="B5" s="486" t="s">
        <v>727</v>
      </c>
      <c r="C5" s="517">
        <v>1</v>
      </c>
      <c r="D5" s="517">
        <v>2</v>
      </c>
      <c r="E5" s="517">
        <v>3</v>
      </c>
      <c r="F5" s="517">
        <v>4</v>
      </c>
      <c r="G5" s="517">
        <v>5</v>
      </c>
      <c r="H5" s="517">
        <v>6</v>
      </c>
      <c r="I5" s="517">
        <v>7</v>
      </c>
      <c r="J5" s="517">
        <v>8</v>
      </c>
      <c r="K5" s="517">
        <v>9</v>
      </c>
      <c r="L5" s="517">
        <v>10</v>
      </c>
      <c r="M5" s="517">
        <v>11</v>
      </c>
      <c r="N5" s="517">
        <v>12</v>
      </c>
      <c r="O5" s="517">
        <v>13</v>
      </c>
      <c r="P5" s="517">
        <v>14</v>
      </c>
      <c r="Q5" s="517">
        <v>15</v>
      </c>
      <c r="R5" s="517">
        <v>16</v>
      </c>
      <c r="S5" s="517">
        <v>17</v>
      </c>
      <c r="T5" s="517">
        <v>18</v>
      </c>
      <c r="U5" s="517">
        <v>19</v>
      </c>
      <c r="V5" s="517">
        <v>20</v>
      </c>
      <c r="W5" s="517">
        <v>21</v>
      </c>
      <c r="X5" s="517">
        <v>22</v>
      </c>
      <c r="Y5" s="517">
        <v>23</v>
      </c>
      <c r="Z5" s="517">
        <v>24</v>
      </c>
      <c r="AA5" s="517">
        <v>25</v>
      </c>
      <c r="AB5" s="517">
        <v>26</v>
      </c>
      <c r="AC5" s="517">
        <v>27</v>
      </c>
      <c r="AD5" s="517">
        <v>28</v>
      </c>
      <c r="AE5" s="517">
        <v>29</v>
      </c>
      <c r="AF5" s="517">
        <v>30</v>
      </c>
      <c r="AG5" s="517">
        <v>31</v>
      </c>
      <c r="AH5" s="517">
        <v>32</v>
      </c>
      <c r="AI5" s="517">
        <v>33</v>
      </c>
      <c r="AJ5" s="517">
        <v>34</v>
      </c>
      <c r="AK5" s="517">
        <v>35</v>
      </c>
      <c r="AL5" s="517">
        <v>36</v>
      </c>
      <c r="AM5" s="517">
        <v>37</v>
      </c>
      <c r="AN5" s="517">
        <v>38</v>
      </c>
      <c r="AO5" s="517">
        <v>39</v>
      </c>
      <c r="AP5" s="517">
        <v>40</v>
      </c>
      <c r="AQ5" s="517">
        <v>41</v>
      </c>
      <c r="AR5" s="517">
        <v>42</v>
      </c>
      <c r="AS5" s="517">
        <v>43</v>
      </c>
      <c r="AT5" s="517">
        <v>44</v>
      </c>
      <c r="AU5" s="517">
        <v>45</v>
      </c>
      <c r="AV5" s="517">
        <v>46</v>
      </c>
      <c r="AW5" s="517">
        <v>47</v>
      </c>
      <c r="AX5" s="517">
        <v>48</v>
      </c>
      <c r="AY5" s="517">
        <v>49</v>
      </c>
      <c r="AZ5" s="517">
        <v>50</v>
      </c>
      <c r="BA5" s="517">
        <v>51</v>
      </c>
      <c r="BB5" s="517">
        <v>52</v>
      </c>
      <c r="BC5" s="517">
        <v>53</v>
      </c>
      <c r="BF5" s="487" t="s">
        <v>338</v>
      </c>
      <c r="BG5" s="488" t="s">
        <v>339</v>
      </c>
      <c r="BH5" s="488" t="s">
        <v>276</v>
      </c>
      <c r="BI5" s="488" t="s">
        <v>708</v>
      </c>
      <c r="BJ5" s="488" t="s">
        <v>712</v>
      </c>
      <c r="BK5" s="488" t="s">
        <v>713</v>
      </c>
      <c r="BL5" s="488" t="s">
        <v>714</v>
      </c>
      <c r="BM5" s="488" t="s">
        <v>715</v>
      </c>
      <c r="BN5" s="488" t="s">
        <v>716</v>
      </c>
      <c r="BO5" s="488" t="s">
        <v>717</v>
      </c>
      <c r="BP5" s="489" t="s">
        <v>718</v>
      </c>
      <c r="BS5" s="490" t="s">
        <v>713</v>
      </c>
      <c r="BT5" s="490" t="s">
        <v>719</v>
      </c>
      <c r="BU5" s="490" t="s">
        <v>720</v>
      </c>
    </row>
    <row r="6" spans="2:74" x14ac:dyDescent="0.35">
      <c r="B6" s="486" t="s">
        <v>140</v>
      </c>
      <c r="C6" s="541">
        <v>0.1</v>
      </c>
      <c r="D6" s="541">
        <v>0.1</v>
      </c>
      <c r="E6" s="541">
        <v>0.1</v>
      </c>
      <c r="F6" s="541">
        <v>0.1</v>
      </c>
      <c r="G6" s="541">
        <v>0.1</v>
      </c>
      <c r="H6" s="541">
        <v>0.1</v>
      </c>
      <c r="I6" s="541">
        <v>0.1</v>
      </c>
      <c r="J6" s="541">
        <v>0.1</v>
      </c>
      <c r="K6" s="541">
        <v>0.1</v>
      </c>
      <c r="L6" s="541">
        <v>0.1</v>
      </c>
      <c r="M6" s="541">
        <v>0</v>
      </c>
      <c r="N6" s="541">
        <v>0</v>
      </c>
      <c r="O6" s="541">
        <v>0</v>
      </c>
      <c r="P6" s="541">
        <v>0</v>
      </c>
      <c r="Q6" s="541">
        <v>0</v>
      </c>
      <c r="R6" s="541">
        <v>0</v>
      </c>
      <c r="S6" s="541">
        <v>0</v>
      </c>
      <c r="T6" s="541">
        <v>0</v>
      </c>
      <c r="U6" s="541">
        <v>0</v>
      </c>
      <c r="V6" s="541">
        <v>0</v>
      </c>
      <c r="W6" s="541">
        <v>0</v>
      </c>
      <c r="X6" s="541">
        <v>0</v>
      </c>
      <c r="Y6" s="541">
        <v>0</v>
      </c>
      <c r="Z6" s="541">
        <v>0</v>
      </c>
      <c r="AA6" s="541">
        <v>0</v>
      </c>
      <c r="AB6" s="541">
        <v>0</v>
      </c>
      <c r="AC6" s="541">
        <v>0</v>
      </c>
      <c r="AD6" s="541">
        <v>0</v>
      </c>
      <c r="AE6" s="541">
        <v>0</v>
      </c>
      <c r="AF6" s="541">
        <v>0</v>
      </c>
      <c r="AG6" s="541">
        <v>0</v>
      </c>
      <c r="AH6" s="541">
        <v>0</v>
      </c>
      <c r="AI6" s="541">
        <v>0</v>
      </c>
      <c r="AJ6" s="541">
        <v>0</v>
      </c>
      <c r="AK6" s="541">
        <v>0</v>
      </c>
      <c r="AL6" s="541">
        <v>0</v>
      </c>
      <c r="AM6" s="541">
        <v>0</v>
      </c>
      <c r="AN6" s="541">
        <v>0</v>
      </c>
      <c r="AO6" s="541">
        <v>0</v>
      </c>
      <c r="AP6" s="541">
        <v>0</v>
      </c>
      <c r="AQ6" s="541">
        <v>0</v>
      </c>
      <c r="AR6" s="541">
        <v>0</v>
      </c>
      <c r="AS6" s="541">
        <v>0</v>
      </c>
      <c r="AT6" s="541">
        <v>0</v>
      </c>
      <c r="AU6" s="541">
        <v>0</v>
      </c>
      <c r="AV6" s="541">
        <v>0</v>
      </c>
      <c r="AW6" s="541">
        <v>0</v>
      </c>
      <c r="AX6" s="541">
        <v>0</v>
      </c>
      <c r="AY6" s="541">
        <v>0</v>
      </c>
      <c r="AZ6" s="541">
        <v>0</v>
      </c>
      <c r="BA6" s="541">
        <v>0</v>
      </c>
      <c r="BB6" s="541">
        <v>0</v>
      </c>
      <c r="BC6" s="541">
        <v>0</v>
      </c>
      <c r="BD6" s="541">
        <f>SUM(C6:BC6)</f>
        <v>0.99999999999999989</v>
      </c>
      <c r="BE6" s="541"/>
      <c r="BF6" s="491" t="s">
        <v>340</v>
      </c>
      <c r="BG6" s="492">
        <f>'Feed + carbon calculator'!C3*1</f>
        <v>15000</v>
      </c>
      <c r="BH6" s="493"/>
      <c r="BI6" s="493"/>
      <c r="BJ6" s="493"/>
      <c r="BK6" s="509"/>
      <c r="BL6" s="509"/>
      <c r="BM6" s="509"/>
      <c r="BN6" s="493"/>
      <c r="BO6" s="493"/>
      <c r="BP6" s="494"/>
      <c r="BS6" s="495">
        <v>0</v>
      </c>
    </row>
    <row r="7" spans="2:74" x14ac:dyDescent="0.35">
      <c r="B7" s="486" t="s">
        <v>98</v>
      </c>
      <c r="C7" s="541">
        <v>0.1</v>
      </c>
      <c r="D7" s="541">
        <v>0.1</v>
      </c>
      <c r="E7" s="541">
        <v>0.1</v>
      </c>
      <c r="F7" s="541">
        <v>0.1</v>
      </c>
      <c r="G7" s="541">
        <v>0.1</v>
      </c>
      <c r="H7" s="541">
        <v>0.1</v>
      </c>
      <c r="I7" s="541">
        <v>0.1</v>
      </c>
      <c r="J7" s="541">
        <v>0.1</v>
      </c>
      <c r="K7" s="541">
        <v>0.1</v>
      </c>
      <c r="L7" s="541">
        <v>0.1</v>
      </c>
      <c r="M7" s="541">
        <v>0</v>
      </c>
      <c r="N7" s="541">
        <v>0</v>
      </c>
      <c r="O7" s="541">
        <v>0</v>
      </c>
      <c r="P7" s="541">
        <v>0</v>
      </c>
      <c r="Q7" s="541">
        <v>0</v>
      </c>
      <c r="R7" s="541">
        <v>0</v>
      </c>
      <c r="S7" s="541">
        <v>0</v>
      </c>
      <c r="T7" s="541">
        <v>0</v>
      </c>
      <c r="U7" s="541">
        <v>0</v>
      </c>
      <c r="V7" s="541">
        <v>0</v>
      </c>
      <c r="W7" s="541">
        <v>0</v>
      </c>
      <c r="X7" s="541">
        <v>0</v>
      </c>
      <c r="Y7" s="541">
        <v>0</v>
      </c>
      <c r="Z7" s="541">
        <v>0</v>
      </c>
      <c r="AA7" s="541">
        <v>0</v>
      </c>
      <c r="AB7" s="541">
        <v>0</v>
      </c>
      <c r="AC7" s="541">
        <v>0</v>
      </c>
      <c r="AD7" s="541">
        <v>0</v>
      </c>
      <c r="AE7" s="541">
        <v>0</v>
      </c>
      <c r="AF7" s="541">
        <v>0</v>
      </c>
      <c r="AG7" s="541">
        <v>0</v>
      </c>
      <c r="AH7" s="541">
        <v>0</v>
      </c>
      <c r="AI7" s="541">
        <v>0</v>
      </c>
      <c r="AJ7" s="541">
        <v>0</v>
      </c>
      <c r="AK7" s="541">
        <v>0</v>
      </c>
      <c r="AL7" s="541">
        <v>0</v>
      </c>
      <c r="AM7" s="541">
        <v>0</v>
      </c>
      <c r="AN7" s="541">
        <v>0</v>
      </c>
      <c r="AO7" s="541">
        <v>0</v>
      </c>
      <c r="AP7" s="541">
        <v>0</v>
      </c>
      <c r="AQ7" s="541">
        <v>0</v>
      </c>
      <c r="AR7" s="541">
        <v>0</v>
      </c>
      <c r="AS7" s="541">
        <v>0</v>
      </c>
      <c r="AT7" s="541">
        <v>0</v>
      </c>
      <c r="AU7" s="541">
        <v>0</v>
      </c>
      <c r="AV7" s="541">
        <v>0</v>
      </c>
      <c r="AW7" s="541">
        <v>0</v>
      </c>
      <c r="AX7" s="541">
        <v>0</v>
      </c>
      <c r="AY7" s="541">
        <v>0</v>
      </c>
      <c r="AZ7" s="541">
        <v>0</v>
      </c>
      <c r="BA7" s="541">
        <v>0</v>
      </c>
      <c r="BB7" s="541">
        <v>0</v>
      </c>
      <c r="BC7" s="541">
        <v>0</v>
      </c>
      <c r="BD7" s="541">
        <f t="shared" ref="BD7:BD12" si="0">SUM(C7:BC7)</f>
        <v>0.99999999999999989</v>
      </c>
      <c r="BE7" s="541"/>
      <c r="BF7" s="491" t="s">
        <v>140</v>
      </c>
      <c r="BG7" s="492">
        <f>BG6/2</f>
        <v>7500</v>
      </c>
      <c r="BH7" s="493" t="s">
        <v>341</v>
      </c>
      <c r="BI7" s="496">
        <v>24</v>
      </c>
      <c r="BJ7" s="492">
        <f>ROUNDUP(BG7/BI7,0)</f>
        <v>313</v>
      </c>
      <c r="BK7" s="509"/>
      <c r="BL7" s="509"/>
      <c r="BM7" s="509"/>
      <c r="BN7" s="493">
        <f>ROUND(BJ7-BT7,0)</f>
        <v>313</v>
      </c>
      <c r="BO7" s="497">
        <f>IFERROR(BN7/$BJ7,0)</f>
        <v>1</v>
      </c>
      <c r="BP7" s="498">
        <f>IFERROR(SUM(C54:BC54,C74:BC74),0)</f>
        <v>4646.0447644496753</v>
      </c>
      <c r="BR7" s="517">
        <f>BI7*BJ7</f>
        <v>7512</v>
      </c>
      <c r="BS7" s="495"/>
      <c r="BT7" s="486">
        <f>MIN(BJ7,BS6/BI7)</f>
        <v>0</v>
      </c>
      <c r="BU7" s="499">
        <f>BT7*BI7</f>
        <v>0</v>
      </c>
      <c r="BV7" s="486" t="e">
        <f>BK7/BL7</f>
        <v>#DIV/0!</v>
      </c>
    </row>
    <row r="8" spans="2:74" x14ac:dyDescent="0.35">
      <c r="B8" s="486" t="s">
        <v>728</v>
      </c>
      <c r="C8" s="541">
        <v>1</v>
      </c>
      <c r="D8" s="541">
        <v>0</v>
      </c>
      <c r="E8" s="541">
        <v>0</v>
      </c>
      <c r="F8" s="541">
        <v>0</v>
      </c>
      <c r="G8" s="541">
        <v>0</v>
      </c>
      <c r="H8" s="541">
        <v>0</v>
      </c>
      <c r="I8" s="541">
        <v>0</v>
      </c>
      <c r="J8" s="541">
        <v>0</v>
      </c>
      <c r="K8" s="541">
        <v>0</v>
      </c>
      <c r="L8" s="541">
        <v>0</v>
      </c>
      <c r="M8" s="541">
        <v>0</v>
      </c>
      <c r="N8" s="541">
        <v>0</v>
      </c>
      <c r="O8" s="541">
        <v>0</v>
      </c>
      <c r="P8" s="541">
        <v>0</v>
      </c>
      <c r="Q8" s="541">
        <v>0</v>
      </c>
      <c r="R8" s="541">
        <v>0</v>
      </c>
      <c r="S8" s="541">
        <v>0</v>
      </c>
      <c r="T8" s="541">
        <v>0</v>
      </c>
      <c r="U8" s="541">
        <v>0</v>
      </c>
      <c r="V8" s="541">
        <v>0</v>
      </c>
      <c r="W8" s="541">
        <v>0</v>
      </c>
      <c r="X8" s="541">
        <v>0</v>
      </c>
      <c r="Y8" s="541">
        <v>0</v>
      </c>
      <c r="Z8" s="541">
        <v>0</v>
      </c>
      <c r="AA8" s="541">
        <v>0</v>
      </c>
      <c r="AB8" s="541">
        <v>0</v>
      </c>
      <c r="AC8" s="541">
        <v>0</v>
      </c>
      <c r="AD8" s="541">
        <v>0</v>
      </c>
      <c r="AE8" s="541">
        <v>0</v>
      </c>
      <c r="AF8" s="541">
        <v>0</v>
      </c>
      <c r="AG8" s="541">
        <v>0</v>
      </c>
      <c r="AH8" s="541">
        <v>0</v>
      </c>
      <c r="AI8" s="541">
        <v>0</v>
      </c>
      <c r="AJ8" s="541">
        <v>0</v>
      </c>
      <c r="AK8" s="541">
        <v>0</v>
      </c>
      <c r="AL8" s="541">
        <v>0</v>
      </c>
      <c r="AM8" s="541">
        <v>0</v>
      </c>
      <c r="AN8" s="541">
        <v>0</v>
      </c>
      <c r="AO8" s="541">
        <v>0</v>
      </c>
      <c r="AP8" s="541">
        <v>0</v>
      </c>
      <c r="AQ8" s="541">
        <v>0</v>
      </c>
      <c r="AR8" s="541">
        <v>0</v>
      </c>
      <c r="AS8" s="541">
        <v>0</v>
      </c>
      <c r="AT8" s="541">
        <v>0</v>
      </c>
      <c r="AU8" s="541">
        <v>0</v>
      </c>
      <c r="AV8" s="541">
        <v>0</v>
      </c>
      <c r="AW8" s="541">
        <v>0</v>
      </c>
      <c r="AX8" s="541">
        <v>0</v>
      </c>
      <c r="AY8" s="541">
        <v>0</v>
      </c>
      <c r="AZ8" s="541">
        <v>0</v>
      </c>
      <c r="BA8" s="541">
        <v>0</v>
      </c>
      <c r="BB8" s="541">
        <v>0</v>
      </c>
      <c r="BC8" s="541">
        <v>0</v>
      </c>
      <c r="BD8" s="541">
        <f t="shared" si="0"/>
        <v>1</v>
      </c>
      <c r="BE8" s="541"/>
      <c r="BF8" s="500" t="s">
        <v>140</v>
      </c>
      <c r="BG8" s="501">
        <f>BG6/2</f>
        <v>7500</v>
      </c>
      <c r="BH8" s="502" t="s">
        <v>342</v>
      </c>
      <c r="BI8" s="503">
        <v>14</v>
      </c>
      <c r="BJ8" s="501">
        <f>ROUNDUP(BG8/BI8,0)</f>
        <v>536</v>
      </c>
      <c r="BK8" s="509"/>
      <c r="BL8" s="509"/>
      <c r="BM8" s="509"/>
      <c r="BN8" s="501">
        <f>ROUND(BJ8-BT8,0)</f>
        <v>536</v>
      </c>
      <c r="BO8" s="504">
        <f>IFERROR(BN8/$BJ8,0)</f>
        <v>1</v>
      </c>
      <c r="BP8" s="505">
        <f>IFERROR(SUM(C63:BC63,C83:BC83),0)</f>
        <v>8619.1139132778681</v>
      </c>
      <c r="BR8" s="517">
        <f t="shared" ref="BR8:BR24" si="1">BI8*BJ8</f>
        <v>7504</v>
      </c>
      <c r="BS8" s="495"/>
      <c r="BT8" s="499">
        <f>BU8/BI8</f>
        <v>0</v>
      </c>
      <c r="BU8" s="499">
        <f>MIN(BJ8*BI8,BS6-BU7)</f>
        <v>0</v>
      </c>
      <c r="BV8" s="506" t="e">
        <f>BK8/BL8</f>
        <v>#DIV/0!</v>
      </c>
    </row>
    <row r="9" spans="2:74" x14ac:dyDescent="0.35">
      <c r="B9" s="486" t="s">
        <v>729</v>
      </c>
      <c r="C9" s="541">
        <v>0</v>
      </c>
      <c r="D9" s="541">
        <v>0</v>
      </c>
      <c r="E9" s="541">
        <v>0</v>
      </c>
      <c r="F9" s="541">
        <v>0</v>
      </c>
      <c r="G9" s="541">
        <v>0</v>
      </c>
      <c r="H9" s="541">
        <v>1</v>
      </c>
      <c r="I9" s="541">
        <v>0</v>
      </c>
      <c r="J9" s="541">
        <v>0</v>
      </c>
      <c r="K9" s="541">
        <v>0</v>
      </c>
      <c r="L9" s="541">
        <v>0</v>
      </c>
      <c r="M9" s="541">
        <v>0</v>
      </c>
      <c r="N9" s="541">
        <v>0</v>
      </c>
      <c r="O9" s="541">
        <v>0</v>
      </c>
      <c r="P9" s="541">
        <v>0</v>
      </c>
      <c r="Q9" s="541">
        <v>0</v>
      </c>
      <c r="R9" s="541">
        <v>0</v>
      </c>
      <c r="S9" s="541">
        <v>0</v>
      </c>
      <c r="T9" s="541">
        <v>0</v>
      </c>
      <c r="U9" s="541">
        <v>0</v>
      </c>
      <c r="V9" s="541">
        <v>0</v>
      </c>
      <c r="W9" s="541">
        <v>0</v>
      </c>
      <c r="X9" s="541">
        <v>0</v>
      </c>
      <c r="Y9" s="541">
        <v>0</v>
      </c>
      <c r="Z9" s="541">
        <v>0</v>
      </c>
      <c r="AA9" s="541">
        <v>0</v>
      </c>
      <c r="AB9" s="541">
        <v>0</v>
      </c>
      <c r="AC9" s="541">
        <v>0</v>
      </c>
      <c r="AD9" s="541">
        <v>0</v>
      </c>
      <c r="AE9" s="541">
        <v>0</v>
      </c>
      <c r="AF9" s="541">
        <v>0</v>
      </c>
      <c r="AG9" s="541">
        <v>0</v>
      </c>
      <c r="AH9" s="541">
        <v>0</v>
      </c>
      <c r="AI9" s="541">
        <v>0</v>
      </c>
      <c r="AJ9" s="541">
        <v>0</v>
      </c>
      <c r="AK9" s="541">
        <v>0</v>
      </c>
      <c r="AL9" s="541">
        <v>0</v>
      </c>
      <c r="AM9" s="541">
        <v>0</v>
      </c>
      <c r="AN9" s="541">
        <v>0</v>
      </c>
      <c r="AO9" s="541">
        <v>0</v>
      </c>
      <c r="AP9" s="541">
        <v>0</v>
      </c>
      <c r="AQ9" s="541">
        <v>0</v>
      </c>
      <c r="AR9" s="541">
        <v>0</v>
      </c>
      <c r="AS9" s="541">
        <v>0</v>
      </c>
      <c r="AT9" s="541">
        <v>0</v>
      </c>
      <c r="AU9" s="541">
        <v>0</v>
      </c>
      <c r="AV9" s="541">
        <v>0</v>
      </c>
      <c r="AW9" s="541">
        <v>0</v>
      </c>
      <c r="AX9" s="541">
        <v>0</v>
      </c>
      <c r="AY9" s="541">
        <v>0</v>
      </c>
      <c r="AZ9" s="541">
        <v>0</v>
      </c>
      <c r="BA9" s="541">
        <v>0</v>
      </c>
      <c r="BB9" s="541">
        <v>0</v>
      </c>
      <c r="BC9" s="541">
        <v>0</v>
      </c>
      <c r="BD9" s="541">
        <f t="shared" si="0"/>
        <v>1</v>
      </c>
      <c r="BE9" s="541"/>
      <c r="BF9" s="491" t="s">
        <v>344</v>
      </c>
      <c r="BG9" s="492">
        <v>0</v>
      </c>
      <c r="BH9" s="493"/>
      <c r="BI9" s="496"/>
      <c r="BJ9" s="492"/>
      <c r="BK9" s="509"/>
      <c r="BL9" s="509"/>
      <c r="BM9" s="509"/>
      <c r="BN9" s="492"/>
      <c r="BO9" s="497"/>
      <c r="BP9" s="498"/>
      <c r="BR9" s="517">
        <f t="shared" si="1"/>
        <v>0</v>
      </c>
      <c r="BS9" s="495">
        <v>0</v>
      </c>
    </row>
    <row r="10" spans="2:74" x14ac:dyDescent="0.35">
      <c r="B10" s="486" t="s">
        <v>730</v>
      </c>
      <c r="C10" s="541">
        <v>0</v>
      </c>
      <c r="D10" s="541">
        <v>0</v>
      </c>
      <c r="E10" s="541">
        <v>0</v>
      </c>
      <c r="F10" s="541">
        <v>0</v>
      </c>
      <c r="G10" s="541">
        <v>0</v>
      </c>
      <c r="H10" s="541">
        <v>0</v>
      </c>
      <c r="I10" s="541">
        <v>0</v>
      </c>
      <c r="J10" s="541">
        <v>0</v>
      </c>
      <c r="K10" s="541">
        <v>0</v>
      </c>
      <c r="L10" s="541">
        <v>0</v>
      </c>
      <c r="M10" s="541">
        <v>1</v>
      </c>
      <c r="N10" s="541">
        <v>0</v>
      </c>
      <c r="O10" s="541">
        <v>0</v>
      </c>
      <c r="P10" s="541">
        <v>0</v>
      </c>
      <c r="Q10" s="541">
        <v>0</v>
      </c>
      <c r="R10" s="541">
        <v>0</v>
      </c>
      <c r="S10" s="541">
        <v>0</v>
      </c>
      <c r="T10" s="541">
        <v>0</v>
      </c>
      <c r="U10" s="541">
        <v>0</v>
      </c>
      <c r="V10" s="541">
        <v>0</v>
      </c>
      <c r="W10" s="541">
        <v>0</v>
      </c>
      <c r="X10" s="541">
        <v>0</v>
      </c>
      <c r="Y10" s="541">
        <v>0</v>
      </c>
      <c r="Z10" s="541">
        <v>0</v>
      </c>
      <c r="AA10" s="541">
        <v>0</v>
      </c>
      <c r="AB10" s="541">
        <v>0</v>
      </c>
      <c r="AC10" s="541">
        <v>0</v>
      </c>
      <c r="AD10" s="541">
        <v>0</v>
      </c>
      <c r="AE10" s="541">
        <v>0</v>
      </c>
      <c r="AF10" s="541">
        <v>0</v>
      </c>
      <c r="AG10" s="541">
        <v>0</v>
      </c>
      <c r="AH10" s="541">
        <v>0</v>
      </c>
      <c r="AI10" s="541">
        <v>0</v>
      </c>
      <c r="AJ10" s="541">
        <v>0</v>
      </c>
      <c r="AK10" s="541">
        <v>0</v>
      </c>
      <c r="AL10" s="541">
        <v>0</v>
      </c>
      <c r="AM10" s="541">
        <v>0</v>
      </c>
      <c r="AN10" s="541">
        <v>0</v>
      </c>
      <c r="AO10" s="541">
        <v>0</v>
      </c>
      <c r="AP10" s="541">
        <v>0</v>
      </c>
      <c r="AQ10" s="541">
        <v>0</v>
      </c>
      <c r="AR10" s="541">
        <v>0</v>
      </c>
      <c r="AS10" s="541">
        <v>0</v>
      </c>
      <c r="AT10" s="541">
        <v>0</v>
      </c>
      <c r="AU10" s="541">
        <v>0</v>
      </c>
      <c r="AV10" s="541">
        <v>0</v>
      </c>
      <c r="AW10" s="541">
        <v>0</v>
      </c>
      <c r="AX10" s="541">
        <v>0</v>
      </c>
      <c r="AY10" s="541">
        <v>0</v>
      </c>
      <c r="AZ10" s="541">
        <v>0</v>
      </c>
      <c r="BA10" s="541">
        <v>0</v>
      </c>
      <c r="BB10" s="541">
        <v>0</v>
      </c>
      <c r="BC10" s="541">
        <v>0</v>
      </c>
      <c r="BD10" s="541">
        <f t="shared" si="0"/>
        <v>1</v>
      </c>
      <c r="BE10" s="541"/>
      <c r="BF10" s="491" t="s">
        <v>141</v>
      </c>
      <c r="BG10" s="492">
        <v>0</v>
      </c>
      <c r="BH10" s="493" t="s">
        <v>341</v>
      </c>
      <c r="BI10" s="496">
        <v>24</v>
      </c>
      <c r="BJ10" s="492">
        <f>ROUNDUP(BG10/BI10,0)</f>
        <v>0</v>
      </c>
      <c r="BK10" s="509"/>
      <c r="BL10" s="509"/>
      <c r="BM10" s="509"/>
      <c r="BN10" s="492">
        <f>ROUND(BJ10-BT10,0)</f>
        <v>0</v>
      </c>
      <c r="BO10" s="497" t="e">
        <f>BN10/$BJ10</f>
        <v>#DIV/0!</v>
      </c>
      <c r="BP10" s="498" t="e">
        <f>SUM(C55:BC55,C75:BC75)</f>
        <v>#DIV/0!</v>
      </c>
      <c r="BR10" s="517">
        <f t="shared" si="1"/>
        <v>0</v>
      </c>
      <c r="BS10" s="495"/>
      <c r="BT10" s="486">
        <f>MIN(BJ10,BS9/BI10)</f>
        <v>0</v>
      </c>
      <c r="BU10" s="499">
        <f>BT10*BI10</f>
        <v>0</v>
      </c>
      <c r="BV10" s="486" t="e">
        <f>BK10/BL10</f>
        <v>#DIV/0!</v>
      </c>
    </row>
    <row r="11" spans="2:74" x14ac:dyDescent="0.35">
      <c r="B11" s="486" t="s">
        <v>731</v>
      </c>
      <c r="C11" s="541">
        <v>0</v>
      </c>
      <c r="D11" s="541">
        <v>0</v>
      </c>
      <c r="E11" s="541">
        <v>0</v>
      </c>
      <c r="F11" s="541">
        <v>0</v>
      </c>
      <c r="G11" s="541">
        <v>0</v>
      </c>
      <c r="H11" s="541">
        <v>0</v>
      </c>
      <c r="I11" s="541">
        <v>0</v>
      </c>
      <c r="J11" s="541">
        <v>0</v>
      </c>
      <c r="K11" s="541">
        <v>0</v>
      </c>
      <c r="L11" s="541">
        <v>0</v>
      </c>
      <c r="M11" s="541">
        <v>0</v>
      </c>
      <c r="N11" s="541">
        <v>0</v>
      </c>
      <c r="O11" s="541">
        <v>0</v>
      </c>
      <c r="P11" s="541">
        <v>0</v>
      </c>
      <c r="Q11" s="541">
        <v>1</v>
      </c>
      <c r="R11" s="541">
        <v>0</v>
      </c>
      <c r="S11" s="541">
        <v>0</v>
      </c>
      <c r="T11" s="541">
        <v>0</v>
      </c>
      <c r="U11" s="541">
        <v>0</v>
      </c>
      <c r="V11" s="541">
        <v>0</v>
      </c>
      <c r="W11" s="541">
        <v>0</v>
      </c>
      <c r="X11" s="541">
        <v>0</v>
      </c>
      <c r="Y11" s="541">
        <v>0</v>
      </c>
      <c r="Z11" s="541">
        <v>0</v>
      </c>
      <c r="AA11" s="541">
        <v>0</v>
      </c>
      <c r="AB11" s="541">
        <v>0</v>
      </c>
      <c r="AC11" s="541">
        <v>0</v>
      </c>
      <c r="AD11" s="541">
        <v>0</v>
      </c>
      <c r="AE11" s="541">
        <v>0</v>
      </c>
      <c r="AF11" s="541">
        <v>0</v>
      </c>
      <c r="AG11" s="541">
        <v>0</v>
      </c>
      <c r="AH11" s="541">
        <v>0</v>
      </c>
      <c r="AI11" s="541">
        <v>0</v>
      </c>
      <c r="AJ11" s="541">
        <v>0</v>
      </c>
      <c r="AK11" s="541">
        <v>0</v>
      </c>
      <c r="AL11" s="541">
        <v>0</v>
      </c>
      <c r="AM11" s="541">
        <v>0</v>
      </c>
      <c r="AN11" s="541">
        <v>0</v>
      </c>
      <c r="AO11" s="541">
        <v>0</v>
      </c>
      <c r="AP11" s="541">
        <v>0</v>
      </c>
      <c r="AQ11" s="541">
        <v>0</v>
      </c>
      <c r="AR11" s="541">
        <v>0</v>
      </c>
      <c r="AS11" s="541">
        <v>0</v>
      </c>
      <c r="AT11" s="541">
        <v>0</v>
      </c>
      <c r="AU11" s="541">
        <v>0</v>
      </c>
      <c r="AV11" s="541">
        <v>0</v>
      </c>
      <c r="AW11" s="541">
        <v>0</v>
      </c>
      <c r="AX11" s="541">
        <v>0</v>
      </c>
      <c r="AY11" s="541">
        <v>0</v>
      </c>
      <c r="AZ11" s="541">
        <v>0</v>
      </c>
      <c r="BA11" s="541">
        <v>0</v>
      </c>
      <c r="BB11" s="541">
        <v>0</v>
      </c>
      <c r="BC11" s="541">
        <v>0</v>
      </c>
      <c r="BD11" s="541">
        <f t="shared" si="0"/>
        <v>1</v>
      </c>
      <c r="BE11" s="541"/>
      <c r="BF11" s="491" t="s">
        <v>141</v>
      </c>
      <c r="BG11" s="501">
        <v>0</v>
      </c>
      <c r="BH11" s="502" t="s">
        <v>342</v>
      </c>
      <c r="BI11" s="503">
        <v>14</v>
      </c>
      <c r="BJ11" s="501">
        <f>ROUNDUP(BG11/BI11,0)</f>
        <v>0</v>
      </c>
      <c r="BK11" s="509"/>
      <c r="BL11" s="509"/>
      <c r="BM11" s="509"/>
      <c r="BN11" s="501">
        <f>ROUND(BJ11-BT11,0)</f>
        <v>0</v>
      </c>
      <c r="BO11" s="504" t="e">
        <f>BN11/$BJ11</f>
        <v>#DIV/0!</v>
      </c>
      <c r="BP11" s="505" t="e">
        <f>SUM(C64:BC64,C84:BC84)</f>
        <v>#DIV/0!</v>
      </c>
      <c r="BR11" s="517">
        <f t="shared" si="1"/>
        <v>0</v>
      </c>
      <c r="BS11" s="495"/>
      <c r="BT11" s="499">
        <f>BU11/BI11</f>
        <v>0</v>
      </c>
      <c r="BU11" s="499">
        <f>MIN(BJ11*BI11,BS9-BU10)</f>
        <v>0</v>
      </c>
      <c r="BV11" s="486" t="e">
        <f>BK11/BL11</f>
        <v>#DIV/0!</v>
      </c>
    </row>
    <row r="12" spans="2:74" x14ac:dyDescent="0.35">
      <c r="B12" s="486" t="s">
        <v>732</v>
      </c>
      <c r="C12" s="541">
        <v>0.25</v>
      </c>
      <c r="D12" s="541">
        <v>0</v>
      </c>
      <c r="E12" s="541">
        <v>0</v>
      </c>
      <c r="F12" s="541">
        <v>0</v>
      </c>
      <c r="G12" s="541">
        <v>0</v>
      </c>
      <c r="H12" s="541">
        <v>0.25</v>
      </c>
      <c r="I12" s="541">
        <v>0</v>
      </c>
      <c r="J12" s="541">
        <v>0</v>
      </c>
      <c r="K12" s="541">
        <v>0</v>
      </c>
      <c r="L12" s="541">
        <v>0</v>
      </c>
      <c r="M12" s="541">
        <v>0.25</v>
      </c>
      <c r="N12" s="541">
        <v>0</v>
      </c>
      <c r="O12" s="541">
        <v>0</v>
      </c>
      <c r="P12" s="541">
        <v>0</v>
      </c>
      <c r="Q12" s="541">
        <v>0.25</v>
      </c>
      <c r="R12" s="541">
        <v>0</v>
      </c>
      <c r="S12" s="541">
        <v>0</v>
      </c>
      <c r="T12" s="541">
        <v>0</v>
      </c>
      <c r="U12" s="541">
        <v>0</v>
      </c>
      <c r="V12" s="541">
        <v>0</v>
      </c>
      <c r="W12" s="541">
        <v>0</v>
      </c>
      <c r="X12" s="541">
        <v>0</v>
      </c>
      <c r="Y12" s="541">
        <v>0</v>
      </c>
      <c r="Z12" s="541">
        <v>0</v>
      </c>
      <c r="AA12" s="541">
        <v>0</v>
      </c>
      <c r="AB12" s="541">
        <v>0</v>
      </c>
      <c r="AC12" s="541">
        <v>0</v>
      </c>
      <c r="AD12" s="541">
        <v>0</v>
      </c>
      <c r="AE12" s="541">
        <v>0</v>
      </c>
      <c r="AF12" s="541">
        <v>0</v>
      </c>
      <c r="AG12" s="541">
        <v>0</v>
      </c>
      <c r="AH12" s="541">
        <v>0</v>
      </c>
      <c r="AI12" s="541">
        <v>0</v>
      </c>
      <c r="AJ12" s="541">
        <v>0</v>
      </c>
      <c r="AK12" s="541">
        <v>0</v>
      </c>
      <c r="AL12" s="541">
        <v>0</v>
      </c>
      <c r="AM12" s="541">
        <v>0</v>
      </c>
      <c r="AN12" s="541">
        <v>0</v>
      </c>
      <c r="AO12" s="541">
        <v>0</v>
      </c>
      <c r="AP12" s="541">
        <v>0</v>
      </c>
      <c r="AQ12" s="541">
        <v>0</v>
      </c>
      <c r="AR12" s="541">
        <v>0</v>
      </c>
      <c r="AS12" s="541">
        <v>0</v>
      </c>
      <c r="AT12" s="541">
        <v>0</v>
      </c>
      <c r="AU12" s="541">
        <v>0</v>
      </c>
      <c r="AV12" s="541">
        <v>0</v>
      </c>
      <c r="AW12" s="541">
        <v>0</v>
      </c>
      <c r="AX12" s="541">
        <v>0</v>
      </c>
      <c r="AY12" s="541">
        <v>0</v>
      </c>
      <c r="AZ12" s="541">
        <v>0</v>
      </c>
      <c r="BA12" s="541">
        <v>0</v>
      </c>
      <c r="BB12" s="541">
        <v>0</v>
      </c>
      <c r="BC12" s="541">
        <v>0</v>
      </c>
      <c r="BD12" s="541">
        <f t="shared" si="0"/>
        <v>1</v>
      </c>
      <c r="BE12" s="541"/>
      <c r="BF12" s="550" t="s">
        <v>733</v>
      </c>
      <c r="BG12" s="492">
        <f>'Feed + carbon calculator'!C6</f>
        <v>20000</v>
      </c>
      <c r="BH12" s="493"/>
      <c r="BI12" s="496"/>
      <c r="BJ12" s="492"/>
      <c r="BK12" s="509"/>
      <c r="BL12" s="509"/>
      <c r="BM12" s="509"/>
      <c r="BN12" s="492"/>
      <c r="BO12" s="497"/>
      <c r="BP12" s="498"/>
      <c r="BR12" s="517">
        <f t="shared" si="1"/>
        <v>0</v>
      </c>
      <c r="BS12" s="495">
        <v>0</v>
      </c>
    </row>
    <row r="13" spans="2:74" x14ac:dyDescent="0.35">
      <c r="BF13" s="491" t="s">
        <v>728</v>
      </c>
      <c r="BG13" s="492">
        <v>24000</v>
      </c>
      <c r="BH13" s="493" t="s">
        <v>341</v>
      </c>
      <c r="BI13" s="496">
        <v>24</v>
      </c>
      <c r="BJ13" s="492">
        <f>ROUNDUP(BG13/BI13,0)</f>
        <v>1000</v>
      </c>
      <c r="BK13" s="509"/>
      <c r="BL13" s="509"/>
      <c r="BM13" s="509"/>
      <c r="BN13" s="492">
        <f>ROUND(BJ13-BT13,0)</f>
        <v>1000</v>
      </c>
      <c r="BO13" s="497">
        <f>BN13/$BJ13</f>
        <v>1</v>
      </c>
      <c r="BP13" s="498">
        <f>SUM(C58:BC58,C78:BC78)</f>
        <v>10746.761691570495</v>
      </c>
      <c r="BR13" s="517">
        <f t="shared" si="1"/>
        <v>24000</v>
      </c>
      <c r="BS13" s="495"/>
      <c r="BT13" s="486">
        <f>MIN(BJ17,BS12/BI17)</f>
        <v>0</v>
      </c>
      <c r="BU13" s="499">
        <f>BT13*BI17</f>
        <v>0</v>
      </c>
      <c r="BV13" s="486" t="e">
        <f>BK17/BL17</f>
        <v>#DIV/0!</v>
      </c>
    </row>
    <row r="14" spans="2:74" x14ac:dyDescent="0.35">
      <c r="B14" s="507" t="s">
        <v>343</v>
      </c>
      <c r="L14" s="541"/>
      <c r="BF14" s="491" t="s">
        <v>729</v>
      </c>
      <c r="BG14" s="492">
        <v>8667</v>
      </c>
      <c r="BH14" s="493" t="s">
        <v>341</v>
      </c>
      <c r="BI14" s="496">
        <v>24</v>
      </c>
      <c r="BJ14" s="492">
        <f>ROUNDUP(BG14/BI14,0)</f>
        <v>362</v>
      </c>
      <c r="BK14" s="509"/>
      <c r="BL14" s="509"/>
      <c r="BM14" s="509"/>
      <c r="BN14" s="492">
        <f>ROUND(BJ14-BT14,0)</f>
        <v>362</v>
      </c>
      <c r="BO14" s="497">
        <f>BN14/$BJ14</f>
        <v>1</v>
      </c>
      <c r="BP14" s="498">
        <f>SUM(C59:BC59,C79:BC79)</f>
        <v>14654.675033959767</v>
      </c>
      <c r="BR14" s="517">
        <f t="shared" si="1"/>
        <v>8688</v>
      </c>
      <c r="BS14" s="495"/>
      <c r="BT14" s="499">
        <f>BU14/BI18</f>
        <v>0</v>
      </c>
      <c r="BU14" s="499">
        <f>MIN(BJ18*BI18,BS12-BU13)</f>
        <v>0</v>
      </c>
      <c r="BV14" s="486" t="e">
        <f>BK18/BL18</f>
        <v>#DIV/0!</v>
      </c>
    </row>
    <row r="15" spans="2:74" x14ac:dyDescent="0.35">
      <c r="B15" s="508" t="str">
        <f>B6</f>
        <v>Rye Silage</v>
      </c>
      <c r="C15" s="542">
        <f>$BJ$7*C6</f>
        <v>31.3</v>
      </c>
      <c r="D15" s="542">
        <f t="shared" ref="D15:Q15" si="2">$BJ$7*D6</f>
        <v>31.3</v>
      </c>
      <c r="E15" s="542">
        <f t="shared" si="2"/>
        <v>31.3</v>
      </c>
      <c r="F15" s="542">
        <f t="shared" si="2"/>
        <v>31.3</v>
      </c>
      <c r="G15" s="542">
        <f t="shared" si="2"/>
        <v>31.3</v>
      </c>
      <c r="H15" s="542">
        <f t="shared" si="2"/>
        <v>31.3</v>
      </c>
      <c r="I15" s="542">
        <f t="shared" si="2"/>
        <v>31.3</v>
      </c>
      <c r="J15" s="542">
        <f t="shared" si="2"/>
        <v>31.3</v>
      </c>
      <c r="K15" s="542">
        <f t="shared" si="2"/>
        <v>31.3</v>
      </c>
      <c r="L15" s="542">
        <f t="shared" si="2"/>
        <v>31.3</v>
      </c>
      <c r="M15" s="542">
        <f t="shared" si="2"/>
        <v>0</v>
      </c>
      <c r="N15" s="542">
        <f t="shared" si="2"/>
        <v>0</v>
      </c>
      <c r="O15" s="542">
        <f t="shared" si="2"/>
        <v>0</v>
      </c>
      <c r="P15" s="542">
        <f t="shared" si="2"/>
        <v>0</v>
      </c>
      <c r="Q15" s="542">
        <f t="shared" si="2"/>
        <v>0</v>
      </c>
      <c r="R15" s="542">
        <f t="shared" ref="R15:BC15" si="3">$BJ$7*R6</f>
        <v>0</v>
      </c>
      <c r="S15" s="542">
        <f t="shared" si="3"/>
        <v>0</v>
      </c>
      <c r="T15" s="542">
        <f t="shared" si="3"/>
        <v>0</v>
      </c>
      <c r="U15" s="542">
        <f t="shared" si="3"/>
        <v>0</v>
      </c>
      <c r="V15" s="542">
        <f t="shared" si="3"/>
        <v>0</v>
      </c>
      <c r="W15" s="542">
        <f t="shared" si="3"/>
        <v>0</v>
      </c>
      <c r="X15" s="542">
        <f t="shared" si="3"/>
        <v>0</v>
      </c>
      <c r="Y15" s="542">
        <f t="shared" si="3"/>
        <v>0</v>
      </c>
      <c r="Z15" s="542">
        <f t="shared" si="3"/>
        <v>0</v>
      </c>
      <c r="AA15" s="542">
        <f t="shared" si="3"/>
        <v>0</v>
      </c>
      <c r="AB15" s="542">
        <f t="shared" si="3"/>
        <v>0</v>
      </c>
      <c r="AC15" s="542">
        <f t="shared" si="3"/>
        <v>0</v>
      </c>
      <c r="AD15" s="542">
        <f t="shared" si="3"/>
        <v>0</v>
      </c>
      <c r="AE15" s="542">
        <f t="shared" si="3"/>
        <v>0</v>
      </c>
      <c r="AF15" s="542">
        <f t="shared" si="3"/>
        <v>0</v>
      </c>
      <c r="AG15" s="542">
        <f t="shared" si="3"/>
        <v>0</v>
      </c>
      <c r="AH15" s="542">
        <f t="shared" si="3"/>
        <v>0</v>
      </c>
      <c r="AI15" s="542">
        <f t="shared" si="3"/>
        <v>0</v>
      </c>
      <c r="AJ15" s="542">
        <f t="shared" si="3"/>
        <v>0</v>
      </c>
      <c r="AK15" s="542">
        <f t="shared" si="3"/>
        <v>0</v>
      </c>
      <c r="AL15" s="542">
        <f t="shared" si="3"/>
        <v>0</v>
      </c>
      <c r="AM15" s="542">
        <f t="shared" si="3"/>
        <v>0</v>
      </c>
      <c r="AN15" s="542">
        <f t="shared" si="3"/>
        <v>0</v>
      </c>
      <c r="AO15" s="542">
        <f t="shared" si="3"/>
        <v>0</v>
      </c>
      <c r="AP15" s="542">
        <f t="shared" si="3"/>
        <v>0</v>
      </c>
      <c r="AQ15" s="542">
        <f t="shared" si="3"/>
        <v>0</v>
      </c>
      <c r="AR15" s="542">
        <f t="shared" si="3"/>
        <v>0</v>
      </c>
      <c r="AS15" s="542">
        <f t="shared" si="3"/>
        <v>0</v>
      </c>
      <c r="AT15" s="542">
        <f t="shared" si="3"/>
        <v>0</v>
      </c>
      <c r="AU15" s="542">
        <f t="shared" si="3"/>
        <v>0</v>
      </c>
      <c r="AV15" s="542">
        <f t="shared" si="3"/>
        <v>0</v>
      </c>
      <c r="AW15" s="542">
        <f t="shared" si="3"/>
        <v>0</v>
      </c>
      <c r="AX15" s="542">
        <f t="shared" si="3"/>
        <v>0</v>
      </c>
      <c r="AY15" s="542">
        <f t="shared" si="3"/>
        <v>0</v>
      </c>
      <c r="AZ15" s="542">
        <f t="shared" si="3"/>
        <v>0</v>
      </c>
      <c r="BA15" s="542">
        <f t="shared" si="3"/>
        <v>0</v>
      </c>
      <c r="BB15" s="542">
        <f t="shared" si="3"/>
        <v>0</v>
      </c>
      <c r="BC15" s="542">
        <f t="shared" si="3"/>
        <v>0</v>
      </c>
      <c r="BF15" s="491" t="s">
        <v>730</v>
      </c>
      <c r="BG15" s="492">
        <v>8667</v>
      </c>
      <c r="BH15" s="493" t="s">
        <v>341</v>
      </c>
      <c r="BI15" s="496">
        <v>24</v>
      </c>
      <c r="BJ15" s="492">
        <f>ROUNDUP(BG15/BI15,0)</f>
        <v>362</v>
      </c>
      <c r="BK15" s="509"/>
      <c r="BL15" s="509"/>
      <c r="BM15" s="509"/>
      <c r="BN15" s="492">
        <f>ROUND(BJ15-BT15,0)</f>
        <v>362</v>
      </c>
      <c r="BO15" s="497">
        <f>BN15/$BJ15</f>
        <v>1</v>
      </c>
      <c r="BP15" s="498">
        <f>SUM(C60:BC60,C80:BC80)</f>
        <v>25048.564025587304</v>
      </c>
      <c r="BR15" s="517">
        <f t="shared" si="1"/>
        <v>8688</v>
      </c>
    </row>
    <row r="16" spans="2:74" x14ac:dyDescent="0.35">
      <c r="B16" s="508" t="str">
        <f t="shared" ref="B16:B21" si="4">B7</f>
        <v>Straw</v>
      </c>
      <c r="C16" s="543">
        <f>$BJ$19*C7</f>
        <v>20.900000000000002</v>
      </c>
      <c r="D16" s="543">
        <f t="shared" ref="D16:Q16" si="5">$BJ$19*D7</f>
        <v>20.900000000000002</v>
      </c>
      <c r="E16" s="543">
        <f t="shared" si="5"/>
        <v>20.900000000000002</v>
      </c>
      <c r="F16" s="543">
        <f t="shared" si="5"/>
        <v>20.900000000000002</v>
      </c>
      <c r="G16" s="543">
        <f t="shared" si="5"/>
        <v>20.900000000000002</v>
      </c>
      <c r="H16" s="543">
        <f t="shared" si="5"/>
        <v>20.900000000000002</v>
      </c>
      <c r="I16" s="543">
        <f t="shared" si="5"/>
        <v>20.900000000000002</v>
      </c>
      <c r="J16" s="543">
        <f t="shared" si="5"/>
        <v>20.900000000000002</v>
      </c>
      <c r="K16" s="543">
        <f t="shared" si="5"/>
        <v>20.900000000000002</v>
      </c>
      <c r="L16" s="543">
        <f t="shared" si="5"/>
        <v>20.900000000000002</v>
      </c>
      <c r="M16" s="543">
        <f t="shared" si="5"/>
        <v>0</v>
      </c>
      <c r="N16" s="543">
        <f t="shared" si="5"/>
        <v>0</v>
      </c>
      <c r="O16" s="543">
        <f t="shared" si="5"/>
        <v>0</v>
      </c>
      <c r="P16" s="543">
        <f t="shared" si="5"/>
        <v>0</v>
      </c>
      <c r="Q16" s="543">
        <f t="shared" si="5"/>
        <v>0</v>
      </c>
      <c r="R16" s="543">
        <f t="shared" ref="R16:BC16" si="6">$BJ$10*R7</f>
        <v>0</v>
      </c>
      <c r="S16" s="543">
        <f t="shared" si="6"/>
        <v>0</v>
      </c>
      <c r="T16" s="543">
        <f t="shared" si="6"/>
        <v>0</v>
      </c>
      <c r="U16" s="543">
        <f t="shared" si="6"/>
        <v>0</v>
      </c>
      <c r="V16" s="543">
        <f t="shared" si="6"/>
        <v>0</v>
      </c>
      <c r="W16" s="543">
        <f t="shared" si="6"/>
        <v>0</v>
      </c>
      <c r="X16" s="543">
        <f t="shared" si="6"/>
        <v>0</v>
      </c>
      <c r="Y16" s="543">
        <f t="shared" si="6"/>
        <v>0</v>
      </c>
      <c r="Z16" s="543">
        <f t="shared" si="6"/>
        <v>0</v>
      </c>
      <c r="AA16" s="543">
        <f t="shared" si="6"/>
        <v>0</v>
      </c>
      <c r="AB16" s="543">
        <f t="shared" si="6"/>
        <v>0</v>
      </c>
      <c r="AC16" s="543">
        <f t="shared" si="6"/>
        <v>0</v>
      </c>
      <c r="AD16" s="543">
        <f t="shared" si="6"/>
        <v>0</v>
      </c>
      <c r="AE16" s="543">
        <f t="shared" si="6"/>
        <v>0</v>
      </c>
      <c r="AF16" s="543">
        <f t="shared" si="6"/>
        <v>0</v>
      </c>
      <c r="AG16" s="543">
        <f t="shared" si="6"/>
        <v>0</v>
      </c>
      <c r="AH16" s="543">
        <f t="shared" si="6"/>
        <v>0</v>
      </c>
      <c r="AI16" s="543">
        <f t="shared" si="6"/>
        <v>0</v>
      </c>
      <c r="AJ16" s="543">
        <f t="shared" si="6"/>
        <v>0</v>
      </c>
      <c r="AK16" s="543">
        <f t="shared" si="6"/>
        <v>0</v>
      </c>
      <c r="AL16" s="543">
        <f t="shared" si="6"/>
        <v>0</v>
      </c>
      <c r="AM16" s="543">
        <f t="shared" si="6"/>
        <v>0</v>
      </c>
      <c r="AN16" s="543">
        <f t="shared" si="6"/>
        <v>0</v>
      </c>
      <c r="AO16" s="543">
        <f t="shared" si="6"/>
        <v>0</v>
      </c>
      <c r="AP16" s="543">
        <f t="shared" si="6"/>
        <v>0</v>
      </c>
      <c r="AQ16" s="543">
        <f t="shared" si="6"/>
        <v>0</v>
      </c>
      <c r="AR16" s="543">
        <f t="shared" si="6"/>
        <v>0</v>
      </c>
      <c r="AS16" s="543">
        <f t="shared" si="6"/>
        <v>0</v>
      </c>
      <c r="AT16" s="543">
        <f t="shared" si="6"/>
        <v>0</v>
      </c>
      <c r="AU16" s="543">
        <f t="shared" si="6"/>
        <v>0</v>
      </c>
      <c r="AV16" s="543">
        <f t="shared" si="6"/>
        <v>0</v>
      </c>
      <c r="AW16" s="543">
        <f t="shared" si="6"/>
        <v>0</v>
      </c>
      <c r="AX16" s="543">
        <f t="shared" si="6"/>
        <v>0</v>
      </c>
      <c r="AY16" s="543">
        <f t="shared" si="6"/>
        <v>0</v>
      </c>
      <c r="AZ16" s="543">
        <f t="shared" si="6"/>
        <v>0</v>
      </c>
      <c r="BA16" s="543">
        <f t="shared" si="6"/>
        <v>0</v>
      </c>
      <c r="BB16" s="543">
        <f t="shared" si="6"/>
        <v>0</v>
      </c>
      <c r="BC16" s="543">
        <f t="shared" si="6"/>
        <v>0</v>
      </c>
      <c r="BF16" s="491" t="s">
        <v>731</v>
      </c>
      <c r="BG16" s="492">
        <v>8667</v>
      </c>
      <c r="BH16" s="493" t="s">
        <v>341</v>
      </c>
      <c r="BI16" s="496">
        <v>24</v>
      </c>
      <c r="BJ16" s="492">
        <f>ROUNDUP(BG16/BI16,0)</f>
        <v>362</v>
      </c>
      <c r="BK16" s="509"/>
      <c r="BL16" s="509"/>
      <c r="BM16" s="509"/>
      <c r="BN16" s="492">
        <f>ROUND(BJ16-BT16,0)</f>
        <v>362</v>
      </c>
      <c r="BO16" s="497">
        <f>BN16/$BJ16</f>
        <v>1</v>
      </c>
      <c r="BP16" s="498">
        <f>SUM(C61:BC61,C81:BC81)</f>
        <v>0</v>
      </c>
      <c r="BR16" s="517">
        <f t="shared" si="1"/>
        <v>8688</v>
      </c>
    </row>
    <row r="17" spans="2:70" x14ac:dyDescent="0.35">
      <c r="B17" s="508" t="str">
        <f t="shared" si="4"/>
        <v>Draff 1</v>
      </c>
      <c r="C17" s="544">
        <f>$BJ$13*C8</f>
        <v>1000</v>
      </c>
      <c r="D17" s="544">
        <f t="shared" ref="D17:Q17" si="7">$BJ$13*D8</f>
        <v>0</v>
      </c>
      <c r="E17" s="544">
        <f t="shared" si="7"/>
        <v>0</v>
      </c>
      <c r="F17" s="544">
        <f t="shared" si="7"/>
        <v>0</v>
      </c>
      <c r="G17" s="544">
        <f t="shared" si="7"/>
        <v>0</v>
      </c>
      <c r="H17" s="544">
        <f t="shared" si="7"/>
        <v>0</v>
      </c>
      <c r="I17" s="544">
        <f t="shared" si="7"/>
        <v>0</v>
      </c>
      <c r="J17" s="544">
        <f t="shared" si="7"/>
        <v>0</v>
      </c>
      <c r="K17" s="544">
        <f t="shared" si="7"/>
        <v>0</v>
      </c>
      <c r="L17" s="544">
        <f t="shared" si="7"/>
        <v>0</v>
      </c>
      <c r="M17" s="544">
        <f t="shared" si="7"/>
        <v>0</v>
      </c>
      <c r="N17" s="544">
        <f t="shared" si="7"/>
        <v>0</v>
      </c>
      <c r="O17" s="544">
        <f t="shared" si="7"/>
        <v>0</v>
      </c>
      <c r="P17" s="544">
        <f t="shared" si="7"/>
        <v>0</v>
      </c>
      <c r="Q17" s="544">
        <f t="shared" si="7"/>
        <v>0</v>
      </c>
      <c r="R17" s="544">
        <f t="shared" ref="R17:BC17" si="8">$BJ$17*R8</f>
        <v>0</v>
      </c>
      <c r="S17" s="544">
        <f t="shared" si="8"/>
        <v>0</v>
      </c>
      <c r="T17" s="544">
        <f t="shared" si="8"/>
        <v>0</v>
      </c>
      <c r="U17" s="544">
        <f t="shared" si="8"/>
        <v>0</v>
      </c>
      <c r="V17" s="544">
        <f t="shared" si="8"/>
        <v>0</v>
      </c>
      <c r="W17" s="544">
        <f t="shared" si="8"/>
        <v>0</v>
      </c>
      <c r="X17" s="544">
        <f t="shared" si="8"/>
        <v>0</v>
      </c>
      <c r="Y17" s="544">
        <f t="shared" si="8"/>
        <v>0</v>
      </c>
      <c r="Z17" s="544">
        <f t="shared" si="8"/>
        <v>0</v>
      </c>
      <c r="AA17" s="544">
        <f t="shared" si="8"/>
        <v>0</v>
      </c>
      <c r="AB17" s="544">
        <f t="shared" si="8"/>
        <v>0</v>
      </c>
      <c r="AC17" s="544">
        <f t="shared" si="8"/>
        <v>0</v>
      </c>
      <c r="AD17" s="544">
        <f t="shared" si="8"/>
        <v>0</v>
      </c>
      <c r="AE17" s="544">
        <f t="shared" si="8"/>
        <v>0</v>
      </c>
      <c r="AF17" s="544">
        <f t="shared" si="8"/>
        <v>0</v>
      </c>
      <c r="AG17" s="544">
        <f t="shared" si="8"/>
        <v>0</v>
      </c>
      <c r="AH17" s="544">
        <f t="shared" si="8"/>
        <v>0</v>
      </c>
      <c r="AI17" s="544">
        <f t="shared" si="8"/>
        <v>0</v>
      </c>
      <c r="AJ17" s="544">
        <f t="shared" si="8"/>
        <v>0</v>
      </c>
      <c r="AK17" s="544">
        <f t="shared" si="8"/>
        <v>0</v>
      </c>
      <c r="AL17" s="544">
        <f t="shared" si="8"/>
        <v>0</v>
      </c>
      <c r="AM17" s="544">
        <f t="shared" si="8"/>
        <v>0</v>
      </c>
      <c r="AN17" s="544">
        <f t="shared" si="8"/>
        <v>0</v>
      </c>
      <c r="AO17" s="544">
        <f t="shared" si="8"/>
        <v>0</v>
      </c>
      <c r="AP17" s="544">
        <f t="shared" si="8"/>
        <v>0</v>
      </c>
      <c r="AQ17" s="544">
        <f t="shared" si="8"/>
        <v>0</v>
      </c>
      <c r="AR17" s="544">
        <f t="shared" si="8"/>
        <v>0</v>
      </c>
      <c r="AS17" s="544">
        <f t="shared" si="8"/>
        <v>0</v>
      </c>
      <c r="AT17" s="544">
        <f t="shared" si="8"/>
        <v>0</v>
      </c>
      <c r="AU17" s="544">
        <f t="shared" si="8"/>
        <v>0</v>
      </c>
      <c r="AV17" s="544">
        <f t="shared" si="8"/>
        <v>0</v>
      </c>
      <c r="AW17" s="544">
        <f t="shared" si="8"/>
        <v>0</v>
      </c>
      <c r="AX17" s="544">
        <f t="shared" si="8"/>
        <v>0</v>
      </c>
      <c r="AY17" s="544">
        <f t="shared" si="8"/>
        <v>0</v>
      </c>
      <c r="AZ17" s="544">
        <f t="shared" si="8"/>
        <v>0</v>
      </c>
      <c r="BA17" s="544">
        <f t="shared" si="8"/>
        <v>0</v>
      </c>
      <c r="BB17" s="544">
        <f t="shared" si="8"/>
        <v>0</v>
      </c>
      <c r="BC17" s="544">
        <f t="shared" si="8"/>
        <v>0</v>
      </c>
      <c r="BF17" s="491" t="s">
        <v>734</v>
      </c>
      <c r="BG17" s="492">
        <f>BG12/2</f>
        <v>10000</v>
      </c>
      <c r="BH17" s="493" t="s">
        <v>341</v>
      </c>
      <c r="BI17" s="496">
        <v>24</v>
      </c>
      <c r="BJ17" s="492">
        <f>BG17/BI17</f>
        <v>416.66666666666669</v>
      </c>
      <c r="BK17" s="509"/>
      <c r="BL17" s="509"/>
      <c r="BM17" s="509"/>
      <c r="BN17" s="492">
        <f>ROUND(BJ17-BT13,0)</f>
        <v>417</v>
      </c>
      <c r="BO17" s="497">
        <f>IFERROR(BN17/$BJ17,0)</f>
        <v>1.0007999999999999</v>
      </c>
      <c r="BP17" s="498">
        <f>IFERROR(SUM(C56:BC56,C76:BC76),0)</f>
        <v>2698.83518120806</v>
      </c>
      <c r="BR17" s="517">
        <f t="shared" si="1"/>
        <v>10000</v>
      </c>
    </row>
    <row r="18" spans="2:70" x14ac:dyDescent="0.35">
      <c r="B18" s="508" t="str">
        <f t="shared" si="4"/>
        <v>Draff 2</v>
      </c>
      <c r="C18" s="543">
        <f>$BJ$14*C9</f>
        <v>0</v>
      </c>
      <c r="D18" s="543">
        <f t="shared" ref="D18:Q18" si="9">$BJ$14*D9</f>
        <v>0</v>
      </c>
      <c r="E18" s="543">
        <f t="shared" si="9"/>
        <v>0</v>
      </c>
      <c r="F18" s="543">
        <f t="shared" si="9"/>
        <v>0</v>
      </c>
      <c r="G18" s="543">
        <f t="shared" si="9"/>
        <v>0</v>
      </c>
      <c r="H18" s="543">
        <f t="shared" si="9"/>
        <v>362</v>
      </c>
      <c r="I18" s="543">
        <f t="shared" si="9"/>
        <v>0</v>
      </c>
      <c r="J18" s="543">
        <f t="shared" si="9"/>
        <v>0</v>
      </c>
      <c r="K18" s="543">
        <f t="shared" si="9"/>
        <v>0</v>
      </c>
      <c r="L18" s="543">
        <f t="shared" si="9"/>
        <v>0</v>
      </c>
      <c r="M18" s="543">
        <f t="shared" si="9"/>
        <v>0</v>
      </c>
      <c r="N18" s="543">
        <f t="shared" si="9"/>
        <v>0</v>
      </c>
      <c r="O18" s="543">
        <f t="shared" si="9"/>
        <v>0</v>
      </c>
      <c r="P18" s="543">
        <f t="shared" si="9"/>
        <v>0</v>
      </c>
      <c r="Q18" s="543">
        <f t="shared" si="9"/>
        <v>0</v>
      </c>
      <c r="R18" s="543">
        <f t="shared" ref="R18:BC18" si="10">$BJ$19*R9</f>
        <v>0</v>
      </c>
      <c r="S18" s="543">
        <f t="shared" si="10"/>
        <v>0</v>
      </c>
      <c r="T18" s="543">
        <f t="shared" si="10"/>
        <v>0</v>
      </c>
      <c r="U18" s="543">
        <f t="shared" si="10"/>
        <v>0</v>
      </c>
      <c r="V18" s="543">
        <f t="shared" si="10"/>
        <v>0</v>
      </c>
      <c r="W18" s="543">
        <f t="shared" si="10"/>
        <v>0</v>
      </c>
      <c r="X18" s="543">
        <f t="shared" si="10"/>
        <v>0</v>
      </c>
      <c r="Y18" s="543">
        <f t="shared" si="10"/>
        <v>0</v>
      </c>
      <c r="Z18" s="543">
        <f t="shared" si="10"/>
        <v>0</v>
      </c>
      <c r="AA18" s="543">
        <f t="shared" si="10"/>
        <v>0</v>
      </c>
      <c r="AB18" s="543">
        <f t="shared" si="10"/>
        <v>0</v>
      </c>
      <c r="AC18" s="543">
        <f t="shared" si="10"/>
        <v>0</v>
      </c>
      <c r="AD18" s="543">
        <f t="shared" si="10"/>
        <v>0</v>
      </c>
      <c r="AE18" s="543">
        <f t="shared" si="10"/>
        <v>0</v>
      </c>
      <c r="AF18" s="543">
        <f t="shared" si="10"/>
        <v>0</v>
      </c>
      <c r="AG18" s="543">
        <f t="shared" si="10"/>
        <v>0</v>
      </c>
      <c r="AH18" s="543">
        <f t="shared" si="10"/>
        <v>0</v>
      </c>
      <c r="AI18" s="543">
        <f t="shared" si="10"/>
        <v>0</v>
      </c>
      <c r="AJ18" s="543">
        <f t="shared" si="10"/>
        <v>0</v>
      </c>
      <c r="AK18" s="543">
        <f t="shared" si="10"/>
        <v>0</v>
      </c>
      <c r="AL18" s="543">
        <f t="shared" si="10"/>
        <v>0</v>
      </c>
      <c r="AM18" s="543">
        <f t="shared" si="10"/>
        <v>0</v>
      </c>
      <c r="AN18" s="543">
        <f t="shared" si="10"/>
        <v>0</v>
      </c>
      <c r="AO18" s="543">
        <f t="shared" si="10"/>
        <v>0</v>
      </c>
      <c r="AP18" s="543">
        <f t="shared" si="10"/>
        <v>0</v>
      </c>
      <c r="AQ18" s="543">
        <f t="shared" si="10"/>
        <v>0</v>
      </c>
      <c r="AR18" s="543">
        <f t="shared" si="10"/>
        <v>0</v>
      </c>
      <c r="AS18" s="543">
        <f t="shared" si="10"/>
        <v>0</v>
      </c>
      <c r="AT18" s="543">
        <f t="shared" si="10"/>
        <v>0</v>
      </c>
      <c r="AU18" s="543">
        <f t="shared" si="10"/>
        <v>0</v>
      </c>
      <c r="AV18" s="543">
        <f t="shared" si="10"/>
        <v>0</v>
      </c>
      <c r="AW18" s="543">
        <f t="shared" si="10"/>
        <v>0</v>
      </c>
      <c r="AX18" s="543">
        <f t="shared" si="10"/>
        <v>0</v>
      </c>
      <c r="AY18" s="543">
        <f t="shared" si="10"/>
        <v>0</v>
      </c>
      <c r="AZ18" s="543">
        <f t="shared" si="10"/>
        <v>0</v>
      </c>
      <c r="BA18" s="543">
        <f t="shared" si="10"/>
        <v>0</v>
      </c>
      <c r="BB18" s="543">
        <f t="shared" si="10"/>
        <v>0</v>
      </c>
      <c r="BC18" s="543">
        <f t="shared" si="10"/>
        <v>0</v>
      </c>
      <c r="BF18" s="500" t="s">
        <v>735</v>
      </c>
      <c r="BG18" s="501">
        <f>BG12-BG17</f>
        <v>10000</v>
      </c>
      <c r="BH18" s="493" t="s">
        <v>341</v>
      </c>
      <c r="BI18" s="503">
        <v>24</v>
      </c>
      <c r="BJ18" s="501">
        <f>ROUNDUP(BG18/BI18,0)</f>
        <v>417</v>
      </c>
      <c r="BK18" s="509"/>
      <c r="BL18" s="509"/>
      <c r="BM18" s="509"/>
      <c r="BN18" s="501">
        <f>ROUND(BJ18-BT14,0)</f>
        <v>417</v>
      </c>
      <c r="BO18" s="504">
        <f>IFERROR(BN18/$BJ18,0)</f>
        <v>1</v>
      </c>
      <c r="BP18" s="505">
        <f>IFERROR(SUM(C65:BC65,C85:BC85),0)</f>
        <v>1219.5903908784283</v>
      </c>
      <c r="BR18" s="517">
        <f t="shared" si="1"/>
        <v>10008</v>
      </c>
    </row>
    <row r="19" spans="2:70" x14ac:dyDescent="0.35">
      <c r="B19" s="508" t="str">
        <f t="shared" si="4"/>
        <v>Draff 3</v>
      </c>
      <c r="C19" s="544">
        <f>$BJ$15*C10</f>
        <v>0</v>
      </c>
      <c r="D19" s="544">
        <f t="shared" ref="D19:Q19" si="11">$BJ$15*D10</f>
        <v>0</v>
      </c>
      <c r="E19" s="544">
        <f t="shared" si="11"/>
        <v>0</v>
      </c>
      <c r="F19" s="544">
        <f t="shared" si="11"/>
        <v>0</v>
      </c>
      <c r="G19" s="544">
        <f t="shared" si="11"/>
        <v>0</v>
      </c>
      <c r="H19" s="544">
        <f t="shared" si="11"/>
        <v>0</v>
      </c>
      <c r="I19" s="544">
        <f t="shared" si="11"/>
        <v>0</v>
      </c>
      <c r="J19" s="544">
        <f t="shared" si="11"/>
        <v>0</v>
      </c>
      <c r="K19" s="544">
        <f t="shared" si="11"/>
        <v>0</v>
      </c>
      <c r="L19" s="544">
        <f t="shared" si="11"/>
        <v>0</v>
      </c>
      <c r="M19" s="544">
        <f t="shared" si="11"/>
        <v>362</v>
      </c>
      <c r="N19" s="544">
        <f t="shared" si="11"/>
        <v>0</v>
      </c>
      <c r="O19" s="544">
        <f t="shared" si="11"/>
        <v>0</v>
      </c>
      <c r="P19" s="544">
        <f t="shared" si="11"/>
        <v>0</v>
      </c>
      <c r="Q19" s="544">
        <f t="shared" si="11"/>
        <v>0</v>
      </c>
      <c r="R19" s="544">
        <f t="shared" ref="R19:BC19" si="12">$BJ$20*R10</f>
        <v>0</v>
      </c>
      <c r="S19" s="544">
        <f t="shared" si="12"/>
        <v>0</v>
      </c>
      <c r="T19" s="544">
        <f t="shared" si="12"/>
        <v>0</v>
      </c>
      <c r="U19" s="544">
        <f t="shared" si="12"/>
        <v>0</v>
      </c>
      <c r="V19" s="544">
        <f t="shared" si="12"/>
        <v>0</v>
      </c>
      <c r="W19" s="544">
        <f t="shared" si="12"/>
        <v>0</v>
      </c>
      <c r="X19" s="544">
        <f t="shared" si="12"/>
        <v>0</v>
      </c>
      <c r="Y19" s="544">
        <f t="shared" si="12"/>
        <v>0</v>
      </c>
      <c r="Z19" s="544">
        <f t="shared" si="12"/>
        <v>0</v>
      </c>
      <c r="AA19" s="544">
        <f t="shared" si="12"/>
        <v>0</v>
      </c>
      <c r="AB19" s="544">
        <f t="shared" si="12"/>
        <v>0</v>
      </c>
      <c r="AC19" s="544">
        <f t="shared" si="12"/>
        <v>0</v>
      </c>
      <c r="AD19" s="544">
        <f t="shared" si="12"/>
        <v>0</v>
      </c>
      <c r="AE19" s="544">
        <f t="shared" si="12"/>
        <v>0</v>
      </c>
      <c r="AF19" s="544">
        <f t="shared" si="12"/>
        <v>0</v>
      </c>
      <c r="AG19" s="544">
        <f t="shared" si="12"/>
        <v>0</v>
      </c>
      <c r="AH19" s="544">
        <f t="shared" si="12"/>
        <v>0</v>
      </c>
      <c r="AI19" s="544">
        <f t="shared" si="12"/>
        <v>0</v>
      </c>
      <c r="AJ19" s="544">
        <f t="shared" si="12"/>
        <v>0</v>
      </c>
      <c r="AK19" s="544">
        <f t="shared" si="12"/>
        <v>0</v>
      </c>
      <c r="AL19" s="544">
        <f t="shared" si="12"/>
        <v>0</v>
      </c>
      <c r="AM19" s="544">
        <f t="shared" si="12"/>
        <v>0</v>
      </c>
      <c r="AN19" s="544">
        <f t="shared" si="12"/>
        <v>0</v>
      </c>
      <c r="AO19" s="544">
        <f t="shared" si="12"/>
        <v>0</v>
      </c>
      <c r="AP19" s="544">
        <f t="shared" si="12"/>
        <v>0</v>
      </c>
      <c r="AQ19" s="544">
        <f t="shared" si="12"/>
        <v>0</v>
      </c>
      <c r="AR19" s="544">
        <f t="shared" si="12"/>
        <v>0</v>
      </c>
      <c r="AS19" s="544">
        <f t="shared" si="12"/>
        <v>0</v>
      </c>
      <c r="AT19" s="544">
        <f t="shared" si="12"/>
        <v>0</v>
      </c>
      <c r="AU19" s="544">
        <f t="shared" si="12"/>
        <v>0</v>
      </c>
      <c r="AV19" s="544">
        <f t="shared" si="12"/>
        <v>0</v>
      </c>
      <c r="AW19" s="544">
        <f t="shared" si="12"/>
        <v>0</v>
      </c>
      <c r="AX19" s="544">
        <f t="shared" si="12"/>
        <v>0</v>
      </c>
      <c r="AY19" s="544">
        <f t="shared" si="12"/>
        <v>0</v>
      </c>
      <c r="AZ19" s="544">
        <f t="shared" si="12"/>
        <v>0</v>
      </c>
      <c r="BA19" s="544">
        <f t="shared" si="12"/>
        <v>0</v>
      </c>
      <c r="BB19" s="544">
        <f t="shared" si="12"/>
        <v>0</v>
      </c>
      <c r="BC19" s="544">
        <f t="shared" si="12"/>
        <v>0</v>
      </c>
      <c r="BF19" s="491" t="s">
        <v>98</v>
      </c>
      <c r="BG19" s="492">
        <f>'Feed + carbon calculator'!C9*1</f>
        <v>5000</v>
      </c>
      <c r="BH19" s="512" t="s">
        <v>341</v>
      </c>
      <c r="BI19" s="496">
        <v>24</v>
      </c>
      <c r="BJ19" s="501">
        <f>ROUNDUP(BG19/BI19,0)</f>
        <v>209</v>
      </c>
      <c r="BK19" s="509"/>
      <c r="BL19" s="509"/>
      <c r="BM19" s="509"/>
      <c r="BN19" s="492">
        <f>BJ19</f>
        <v>209</v>
      </c>
      <c r="BO19" s="504">
        <f>IFERROR(BN19/$BJ19,0)</f>
        <v>1</v>
      </c>
      <c r="BP19" s="498">
        <f>SUM(C57:BC57,C77:BC77)</f>
        <v>5861.8700135839063</v>
      </c>
      <c r="BR19" s="517">
        <f t="shared" si="1"/>
        <v>5016</v>
      </c>
    </row>
    <row r="20" spans="2:70" x14ac:dyDescent="0.35">
      <c r="B20" s="508" t="str">
        <f t="shared" si="4"/>
        <v>Draff 4</v>
      </c>
      <c r="C20" s="543">
        <f>$BJ$16*C11</f>
        <v>0</v>
      </c>
      <c r="D20" s="543">
        <f t="shared" ref="D20:Q20" si="13">$BJ$16*D11</f>
        <v>0</v>
      </c>
      <c r="E20" s="543">
        <f t="shared" si="13"/>
        <v>0</v>
      </c>
      <c r="F20" s="543">
        <f t="shared" si="13"/>
        <v>0</v>
      </c>
      <c r="G20" s="543">
        <f t="shared" si="13"/>
        <v>0</v>
      </c>
      <c r="H20" s="543">
        <f t="shared" si="13"/>
        <v>0</v>
      </c>
      <c r="I20" s="543">
        <f t="shared" si="13"/>
        <v>0</v>
      </c>
      <c r="J20" s="543">
        <f t="shared" si="13"/>
        <v>0</v>
      </c>
      <c r="K20" s="543">
        <f t="shared" si="13"/>
        <v>0</v>
      </c>
      <c r="L20" s="543">
        <f t="shared" si="13"/>
        <v>0</v>
      </c>
      <c r="M20" s="543">
        <f t="shared" si="13"/>
        <v>0</v>
      </c>
      <c r="N20" s="543">
        <f t="shared" si="13"/>
        <v>0</v>
      </c>
      <c r="O20" s="543">
        <f t="shared" si="13"/>
        <v>0</v>
      </c>
      <c r="P20" s="543">
        <f t="shared" si="13"/>
        <v>0</v>
      </c>
      <c r="Q20" s="543">
        <f t="shared" si="13"/>
        <v>362</v>
      </c>
      <c r="R20" s="543">
        <f t="shared" ref="R20:BC20" si="14">$BJ$23*R11</f>
        <v>0</v>
      </c>
      <c r="S20" s="543">
        <f t="shared" si="14"/>
        <v>0</v>
      </c>
      <c r="T20" s="543">
        <f t="shared" si="14"/>
        <v>0</v>
      </c>
      <c r="U20" s="543">
        <f t="shared" si="14"/>
        <v>0</v>
      </c>
      <c r="V20" s="543">
        <f t="shared" si="14"/>
        <v>0</v>
      </c>
      <c r="W20" s="543">
        <f t="shared" si="14"/>
        <v>0</v>
      </c>
      <c r="X20" s="543">
        <f t="shared" si="14"/>
        <v>0</v>
      </c>
      <c r="Y20" s="543">
        <f t="shared" si="14"/>
        <v>0</v>
      </c>
      <c r="Z20" s="543">
        <f t="shared" si="14"/>
        <v>0</v>
      </c>
      <c r="AA20" s="543">
        <f t="shared" si="14"/>
        <v>0</v>
      </c>
      <c r="AB20" s="543">
        <f t="shared" si="14"/>
        <v>0</v>
      </c>
      <c r="AC20" s="543">
        <f t="shared" si="14"/>
        <v>0</v>
      </c>
      <c r="AD20" s="543">
        <f t="shared" si="14"/>
        <v>0</v>
      </c>
      <c r="AE20" s="543">
        <f t="shared" si="14"/>
        <v>0</v>
      </c>
      <c r="AF20" s="543">
        <f t="shared" si="14"/>
        <v>0</v>
      </c>
      <c r="AG20" s="543">
        <f t="shared" si="14"/>
        <v>0</v>
      </c>
      <c r="AH20" s="543">
        <f t="shared" si="14"/>
        <v>0</v>
      </c>
      <c r="AI20" s="543">
        <f t="shared" si="14"/>
        <v>0</v>
      </c>
      <c r="AJ20" s="543">
        <f t="shared" si="14"/>
        <v>0</v>
      </c>
      <c r="AK20" s="543">
        <f t="shared" si="14"/>
        <v>0</v>
      </c>
      <c r="AL20" s="543">
        <f t="shared" si="14"/>
        <v>0</v>
      </c>
      <c r="AM20" s="543">
        <f t="shared" si="14"/>
        <v>0</v>
      </c>
      <c r="AN20" s="543">
        <f t="shared" si="14"/>
        <v>0</v>
      </c>
      <c r="AO20" s="543">
        <f t="shared" si="14"/>
        <v>0</v>
      </c>
      <c r="AP20" s="543">
        <f t="shared" si="14"/>
        <v>0</v>
      </c>
      <c r="AQ20" s="543">
        <f t="shared" si="14"/>
        <v>0</v>
      </c>
      <c r="AR20" s="543">
        <f t="shared" si="14"/>
        <v>0</v>
      </c>
      <c r="AS20" s="543">
        <f t="shared" si="14"/>
        <v>0</v>
      </c>
      <c r="AT20" s="543">
        <f t="shared" si="14"/>
        <v>0</v>
      </c>
      <c r="AU20" s="543">
        <f t="shared" si="14"/>
        <v>0</v>
      </c>
      <c r="AV20" s="543">
        <f t="shared" si="14"/>
        <v>0</v>
      </c>
      <c r="AW20" s="543">
        <f t="shared" si="14"/>
        <v>0</v>
      </c>
      <c r="AX20" s="543">
        <f t="shared" si="14"/>
        <v>0</v>
      </c>
      <c r="AY20" s="543">
        <f t="shared" si="14"/>
        <v>0</v>
      </c>
      <c r="AZ20" s="543">
        <f t="shared" si="14"/>
        <v>0</v>
      </c>
      <c r="BA20" s="543">
        <f t="shared" si="14"/>
        <v>0</v>
      </c>
      <c r="BB20" s="543">
        <f t="shared" si="14"/>
        <v>0</v>
      </c>
      <c r="BC20" s="543">
        <f t="shared" si="14"/>
        <v>0</v>
      </c>
      <c r="BF20" s="484" t="s">
        <v>732</v>
      </c>
      <c r="BG20" s="511">
        <v>27000</v>
      </c>
      <c r="BH20" s="512" t="s">
        <v>341</v>
      </c>
      <c r="BI20" s="551">
        <v>24</v>
      </c>
      <c r="BJ20" s="501">
        <f>ROUNDUP(BG20/BI20,0)</f>
        <v>1125</v>
      </c>
      <c r="BK20" s="509"/>
      <c r="BL20" s="509"/>
      <c r="BM20" s="509"/>
      <c r="BN20" s="511">
        <f>BJ20</f>
        <v>1125</v>
      </c>
      <c r="BO20" s="504">
        <f>BN20/$BJ20</f>
        <v>1</v>
      </c>
      <c r="BP20" s="514">
        <f>SUM(C58:BC58,C78:BC78)</f>
        <v>10746.761691570495</v>
      </c>
      <c r="BR20" s="517">
        <f t="shared" si="1"/>
        <v>27000</v>
      </c>
    </row>
    <row r="21" spans="2:70" x14ac:dyDescent="0.35">
      <c r="B21" s="508" t="str">
        <f t="shared" si="4"/>
        <v>Pot Ale Syrup</v>
      </c>
      <c r="C21" s="545">
        <f>$BJ$20*C12</f>
        <v>281.25</v>
      </c>
      <c r="D21" s="545">
        <f t="shared" ref="D21:Q21" si="15">$BJ$20*D12</f>
        <v>0</v>
      </c>
      <c r="E21" s="545">
        <f t="shared" si="15"/>
        <v>0</v>
      </c>
      <c r="F21" s="545">
        <f t="shared" si="15"/>
        <v>0</v>
      </c>
      <c r="G21" s="545">
        <f t="shared" si="15"/>
        <v>0</v>
      </c>
      <c r="H21" s="545">
        <f t="shared" si="15"/>
        <v>281.25</v>
      </c>
      <c r="I21" s="545">
        <f t="shared" si="15"/>
        <v>0</v>
      </c>
      <c r="J21" s="545">
        <f t="shared" si="15"/>
        <v>0</v>
      </c>
      <c r="K21" s="545">
        <f t="shared" si="15"/>
        <v>0</v>
      </c>
      <c r="L21" s="545">
        <f t="shared" si="15"/>
        <v>0</v>
      </c>
      <c r="M21" s="545">
        <f t="shared" si="15"/>
        <v>281.25</v>
      </c>
      <c r="N21" s="545">
        <f t="shared" si="15"/>
        <v>0</v>
      </c>
      <c r="O21" s="545">
        <f t="shared" si="15"/>
        <v>0</v>
      </c>
      <c r="P21" s="545">
        <f t="shared" si="15"/>
        <v>0</v>
      </c>
      <c r="Q21" s="545">
        <f t="shared" si="15"/>
        <v>281.25</v>
      </c>
      <c r="R21" s="545">
        <f t="shared" ref="R21:BC21" si="16">$BJ$24*R12</f>
        <v>0</v>
      </c>
      <c r="S21" s="545">
        <f t="shared" si="16"/>
        <v>0</v>
      </c>
      <c r="T21" s="545">
        <f t="shared" si="16"/>
        <v>0</v>
      </c>
      <c r="U21" s="545">
        <f t="shared" si="16"/>
        <v>0</v>
      </c>
      <c r="V21" s="545">
        <f t="shared" si="16"/>
        <v>0</v>
      </c>
      <c r="W21" s="545">
        <f t="shared" si="16"/>
        <v>0</v>
      </c>
      <c r="X21" s="545">
        <f t="shared" si="16"/>
        <v>0</v>
      </c>
      <c r="Y21" s="545">
        <f t="shared" si="16"/>
        <v>0</v>
      </c>
      <c r="Z21" s="545">
        <f t="shared" si="16"/>
        <v>0</v>
      </c>
      <c r="AA21" s="545">
        <f t="shared" si="16"/>
        <v>0</v>
      </c>
      <c r="AB21" s="545">
        <f t="shared" si="16"/>
        <v>0</v>
      </c>
      <c r="AC21" s="545">
        <f t="shared" si="16"/>
        <v>0</v>
      </c>
      <c r="AD21" s="545">
        <f t="shared" si="16"/>
        <v>0</v>
      </c>
      <c r="AE21" s="545">
        <f t="shared" si="16"/>
        <v>0</v>
      </c>
      <c r="AF21" s="545">
        <f t="shared" si="16"/>
        <v>0</v>
      </c>
      <c r="AG21" s="545">
        <f t="shared" si="16"/>
        <v>0</v>
      </c>
      <c r="AH21" s="545">
        <f t="shared" si="16"/>
        <v>0</v>
      </c>
      <c r="AI21" s="545">
        <f t="shared" si="16"/>
        <v>0</v>
      </c>
      <c r="AJ21" s="545">
        <f t="shared" si="16"/>
        <v>0</v>
      </c>
      <c r="AK21" s="545">
        <f t="shared" si="16"/>
        <v>0</v>
      </c>
      <c r="AL21" s="545">
        <f t="shared" si="16"/>
        <v>0</v>
      </c>
      <c r="AM21" s="545">
        <f t="shared" si="16"/>
        <v>0</v>
      </c>
      <c r="AN21" s="545">
        <f t="shared" si="16"/>
        <v>0</v>
      </c>
      <c r="AO21" s="545">
        <f t="shared" si="16"/>
        <v>0</v>
      </c>
      <c r="AP21" s="545">
        <f t="shared" si="16"/>
        <v>0</v>
      </c>
      <c r="AQ21" s="545">
        <f t="shared" si="16"/>
        <v>0</v>
      </c>
      <c r="AR21" s="545">
        <f t="shared" si="16"/>
        <v>0</v>
      </c>
      <c r="AS21" s="545">
        <f t="shared" si="16"/>
        <v>0</v>
      </c>
      <c r="AT21" s="545">
        <f t="shared" si="16"/>
        <v>0</v>
      </c>
      <c r="AU21" s="545">
        <f t="shared" si="16"/>
        <v>0</v>
      </c>
      <c r="AV21" s="545">
        <f t="shared" si="16"/>
        <v>0</v>
      </c>
      <c r="AW21" s="545">
        <f t="shared" si="16"/>
        <v>0</v>
      </c>
      <c r="AX21" s="545">
        <f t="shared" si="16"/>
        <v>0</v>
      </c>
      <c r="AY21" s="545">
        <f t="shared" si="16"/>
        <v>0</v>
      </c>
      <c r="AZ21" s="545">
        <f t="shared" si="16"/>
        <v>0</v>
      </c>
      <c r="BA21" s="545">
        <f t="shared" si="16"/>
        <v>0</v>
      </c>
      <c r="BB21" s="545">
        <f t="shared" si="16"/>
        <v>0</v>
      </c>
      <c r="BC21" s="545">
        <f t="shared" si="16"/>
        <v>0</v>
      </c>
      <c r="BF21" s="491" t="s">
        <v>736</v>
      </c>
      <c r="BG21" s="516">
        <f>'Feed + carbon calculator'!C10</f>
        <v>0</v>
      </c>
      <c r="BH21" s="517"/>
      <c r="BI21" s="518"/>
      <c r="BJ21" s="492"/>
      <c r="BK21" s="509"/>
      <c r="BL21" s="509"/>
      <c r="BM21" s="509"/>
      <c r="BN21" s="519"/>
      <c r="BO21" s="497"/>
      <c r="BP21" s="520"/>
      <c r="BR21" s="517">
        <f t="shared" si="1"/>
        <v>0</v>
      </c>
    </row>
    <row r="22" spans="2:70" x14ac:dyDescent="0.35">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46"/>
      <c r="AA22" s="546"/>
      <c r="AB22" s="546"/>
      <c r="AC22" s="546"/>
      <c r="AD22" s="546"/>
      <c r="AE22" s="546"/>
      <c r="AF22" s="546"/>
      <c r="AG22" s="546"/>
      <c r="AH22" s="546"/>
      <c r="AI22" s="546"/>
      <c r="AJ22" s="546"/>
      <c r="AK22" s="546"/>
      <c r="AL22" s="546"/>
      <c r="AM22" s="546"/>
      <c r="AN22" s="546"/>
      <c r="AO22" s="546"/>
      <c r="AP22" s="546"/>
      <c r="AQ22" s="546"/>
      <c r="AR22" s="546"/>
      <c r="AS22" s="546"/>
      <c r="AT22" s="546"/>
      <c r="AU22" s="546"/>
      <c r="AV22" s="546"/>
      <c r="AW22" s="546"/>
      <c r="AX22" s="546"/>
      <c r="AY22" s="546"/>
      <c r="AZ22" s="546"/>
      <c r="BA22" s="546"/>
      <c r="BB22" s="546"/>
      <c r="BC22" s="546"/>
      <c r="BF22" s="491" t="s">
        <v>732</v>
      </c>
      <c r="BG22" s="492">
        <f>BG21*100%</f>
        <v>0</v>
      </c>
      <c r="BH22" s="517" t="s">
        <v>342</v>
      </c>
      <c r="BI22" s="518">
        <v>14</v>
      </c>
      <c r="BJ22" s="492">
        <f>ROUNDUP(BG22/BI22,0)</f>
        <v>0</v>
      </c>
      <c r="BK22" s="509"/>
      <c r="BL22" s="509"/>
      <c r="BM22" s="509"/>
      <c r="BN22" s="492">
        <f>BJ22</f>
        <v>0</v>
      </c>
      <c r="BO22" s="497" t="e">
        <f>BN22/$BJ22</f>
        <v>#DIV/0!</v>
      </c>
      <c r="BP22" s="498">
        <f>SUM(C68:BC68,C88:BC88)</f>
        <v>0</v>
      </c>
      <c r="BR22" s="517">
        <f t="shared" si="1"/>
        <v>0</v>
      </c>
    </row>
    <row r="23" spans="2:70" x14ac:dyDescent="0.35">
      <c r="B23" s="507" t="s">
        <v>346</v>
      </c>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c r="AU23" s="546"/>
      <c r="AV23" s="546"/>
      <c r="AW23" s="546"/>
      <c r="AX23" s="546"/>
      <c r="AY23" s="546"/>
      <c r="AZ23" s="546"/>
      <c r="BA23" s="546"/>
      <c r="BB23" s="546"/>
      <c r="BC23" s="546"/>
      <c r="BF23" s="491" t="s">
        <v>732</v>
      </c>
      <c r="BG23" s="521">
        <v>0</v>
      </c>
      <c r="BH23" s="522" t="s">
        <v>341</v>
      </c>
      <c r="BI23" s="518">
        <v>24</v>
      </c>
      <c r="BJ23" s="501">
        <f>ROUNDUP(BG23/BI23,0)</f>
        <v>0</v>
      </c>
      <c r="BK23" s="509"/>
      <c r="BL23" s="509"/>
      <c r="BM23" s="509"/>
      <c r="BN23" s="523"/>
      <c r="BO23" s="524"/>
      <c r="BP23" s="520">
        <f>SUM(C59:BC59,C79:BC79)</f>
        <v>14654.675033959767</v>
      </c>
      <c r="BR23" s="517">
        <f t="shared" si="1"/>
        <v>0</v>
      </c>
    </row>
    <row r="24" spans="2:70" x14ac:dyDescent="0.35">
      <c r="B24" s="508" t="str">
        <f>B6</f>
        <v>Rye Silage</v>
      </c>
      <c r="C24" s="542">
        <f t="shared" ref="C24:BC24" si="17">$BJ$8*C6</f>
        <v>53.6</v>
      </c>
      <c r="D24" s="542">
        <f t="shared" si="17"/>
        <v>53.6</v>
      </c>
      <c r="E24" s="542">
        <f t="shared" si="17"/>
        <v>53.6</v>
      </c>
      <c r="F24" s="542">
        <f t="shared" si="17"/>
        <v>53.6</v>
      </c>
      <c r="G24" s="542">
        <f t="shared" si="17"/>
        <v>53.6</v>
      </c>
      <c r="H24" s="542">
        <f t="shared" si="17"/>
        <v>53.6</v>
      </c>
      <c r="I24" s="542">
        <f t="shared" si="17"/>
        <v>53.6</v>
      </c>
      <c r="J24" s="542">
        <f t="shared" si="17"/>
        <v>53.6</v>
      </c>
      <c r="K24" s="542">
        <f t="shared" si="17"/>
        <v>53.6</v>
      </c>
      <c r="L24" s="542">
        <f t="shared" si="17"/>
        <v>53.6</v>
      </c>
      <c r="M24" s="542">
        <f t="shared" si="17"/>
        <v>0</v>
      </c>
      <c r="N24" s="542">
        <f t="shared" si="17"/>
        <v>0</v>
      </c>
      <c r="O24" s="542">
        <f t="shared" si="17"/>
        <v>0</v>
      </c>
      <c r="P24" s="542">
        <f t="shared" si="17"/>
        <v>0</v>
      </c>
      <c r="Q24" s="542">
        <f t="shared" si="17"/>
        <v>0</v>
      </c>
      <c r="R24" s="542">
        <f t="shared" si="17"/>
        <v>0</v>
      </c>
      <c r="S24" s="542">
        <f t="shared" si="17"/>
        <v>0</v>
      </c>
      <c r="T24" s="542">
        <f t="shared" si="17"/>
        <v>0</v>
      </c>
      <c r="U24" s="542">
        <f t="shared" si="17"/>
        <v>0</v>
      </c>
      <c r="V24" s="542">
        <f t="shared" si="17"/>
        <v>0</v>
      </c>
      <c r="W24" s="542">
        <f t="shared" si="17"/>
        <v>0</v>
      </c>
      <c r="X24" s="542">
        <f t="shared" si="17"/>
        <v>0</v>
      </c>
      <c r="Y24" s="542">
        <f t="shared" si="17"/>
        <v>0</v>
      </c>
      <c r="Z24" s="542">
        <f t="shared" si="17"/>
        <v>0</v>
      </c>
      <c r="AA24" s="542">
        <f t="shared" si="17"/>
        <v>0</v>
      </c>
      <c r="AB24" s="542">
        <f t="shared" si="17"/>
        <v>0</v>
      </c>
      <c r="AC24" s="542">
        <f t="shared" si="17"/>
        <v>0</v>
      </c>
      <c r="AD24" s="542">
        <f t="shared" si="17"/>
        <v>0</v>
      </c>
      <c r="AE24" s="542">
        <f t="shared" si="17"/>
        <v>0</v>
      </c>
      <c r="AF24" s="542">
        <f t="shared" si="17"/>
        <v>0</v>
      </c>
      <c r="AG24" s="542">
        <f t="shared" si="17"/>
        <v>0</v>
      </c>
      <c r="AH24" s="542">
        <f t="shared" si="17"/>
        <v>0</v>
      </c>
      <c r="AI24" s="542">
        <f t="shared" si="17"/>
        <v>0</v>
      </c>
      <c r="AJ24" s="542">
        <f t="shared" si="17"/>
        <v>0</v>
      </c>
      <c r="AK24" s="542">
        <f t="shared" si="17"/>
        <v>0</v>
      </c>
      <c r="AL24" s="542">
        <f t="shared" si="17"/>
        <v>0</v>
      </c>
      <c r="AM24" s="542">
        <f t="shared" si="17"/>
        <v>0</v>
      </c>
      <c r="AN24" s="542">
        <f t="shared" si="17"/>
        <v>0</v>
      </c>
      <c r="AO24" s="542">
        <f t="shared" si="17"/>
        <v>0</v>
      </c>
      <c r="AP24" s="542">
        <f t="shared" si="17"/>
        <v>0</v>
      </c>
      <c r="AQ24" s="542">
        <f t="shared" si="17"/>
        <v>0</v>
      </c>
      <c r="AR24" s="542">
        <f t="shared" si="17"/>
        <v>0</v>
      </c>
      <c r="AS24" s="542">
        <f t="shared" si="17"/>
        <v>0</v>
      </c>
      <c r="AT24" s="542">
        <f t="shared" si="17"/>
        <v>0</v>
      </c>
      <c r="AU24" s="542">
        <f t="shared" si="17"/>
        <v>0</v>
      </c>
      <c r="AV24" s="542">
        <f t="shared" si="17"/>
        <v>0</v>
      </c>
      <c r="AW24" s="542">
        <f t="shared" si="17"/>
        <v>0</v>
      </c>
      <c r="AX24" s="542">
        <f t="shared" si="17"/>
        <v>0</v>
      </c>
      <c r="AY24" s="542">
        <f t="shared" si="17"/>
        <v>0</v>
      </c>
      <c r="AZ24" s="542">
        <f t="shared" si="17"/>
        <v>0</v>
      </c>
      <c r="BA24" s="542">
        <f t="shared" si="17"/>
        <v>0</v>
      </c>
      <c r="BB24" s="542">
        <f t="shared" si="17"/>
        <v>0</v>
      </c>
      <c r="BC24" s="542">
        <f t="shared" si="17"/>
        <v>0</v>
      </c>
      <c r="BF24" s="484" t="s">
        <v>345</v>
      </c>
      <c r="BG24" s="511">
        <v>0</v>
      </c>
      <c r="BH24" s="512" t="s">
        <v>341</v>
      </c>
      <c r="BI24" s="513">
        <v>26</v>
      </c>
      <c r="BJ24" s="501">
        <f>ROUNDUP(BG24/BI24,0)</f>
        <v>0</v>
      </c>
      <c r="BK24" s="509"/>
      <c r="BL24" s="509"/>
      <c r="BM24" s="509"/>
      <c r="BN24" s="511">
        <f>BJ24</f>
        <v>0</v>
      </c>
      <c r="BO24" s="504">
        <f>IFERROR(BN24/$BJ24,0)</f>
        <v>0</v>
      </c>
      <c r="BP24" s="514">
        <f>SUM(C80:BC80,C60:BC60)</f>
        <v>25048.564025587308</v>
      </c>
      <c r="BR24" s="517">
        <f t="shared" si="1"/>
        <v>0</v>
      </c>
    </row>
    <row r="25" spans="2:70" x14ac:dyDescent="0.35">
      <c r="B25" s="508" t="str">
        <f t="shared" ref="B25:B30" si="18">B7</f>
        <v>Straw</v>
      </c>
      <c r="C25" s="543">
        <f t="shared" ref="C25:BC25" si="19">$BJ$11*C7</f>
        <v>0</v>
      </c>
      <c r="D25" s="543">
        <f t="shared" si="19"/>
        <v>0</v>
      </c>
      <c r="E25" s="543">
        <f t="shared" si="19"/>
        <v>0</v>
      </c>
      <c r="F25" s="543">
        <f t="shared" si="19"/>
        <v>0</v>
      </c>
      <c r="G25" s="543">
        <f t="shared" si="19"/>
        <v>0</v>
      </c>
      <c r="H25" s="543">
        <f t="shared" si="19"/>
        <v>0</v>
      </c>
      <c r="I25" s="543">
        <f t="shared" si="19"/>
        <v>0</v>
      </c>
      <c r="J25" s="543">
        <f t="shared" si="19"/>
        <v>0</v>
      </c>
      <c r="K25" s="543">
        <f t="shared" si="19"/>
        <v>0</v>
      </c>
      <c r="L25" s="543">
        <f t="shared" si="19"/>
        <v>0</v>
      </c>
      <c r="M25" s="543">
        <f t="shared" si="19"/>
        <v>0</v>
      </c>
      <c r="N25" s="543">
        <f t="shared" si="19"/>
        <v>0</v>
      </c>
      <c r="O25" s="543">
        <f t="shared" si="19"/>
        <v>0</v>
      </c>
      <c r="P25" s="543">
        <f t="shared" si="19"/>
        <v>0</v>
      </c>
      <c r="Q25" s="543">
        <f t="shared" si="19"/>
        <v>0</v>
      </c>
      <c r="R25" s="543">
        <f t="shared" si="19"/>
        <v>0</v>
      </c>
      <c r="S25" s="543">
        <f t="shared" si="19"/>
        <v>0</v>
      </c>
      <c r="T25" s="543">
        <f t="shared" si="19"/>
        <v>0</v>
      </c>
      <c r="U25" s="543">
        <f t="shared" si="19"/>
        <v>0</v>
      </c>
      <c r="V25" s="543">
        <f t="shared" si="19"/>
        <v>0</v>
      </c>
      <c r="W25" s="543">
        <f t="shared" si="19"/>
        <v>0</v>
      </c>
      <c r="X25" s="543">
        <f t="shared" si="19"/>
        <v>0</v>
      </c>
      <c r="Y25" s="543">
        <f t="shared" si="19"/>
        <v>0</v>
      </c>
      <c r="Z25" s="543">
        <f t="shared" si="19"/>
        <v>0</v>
      </c>
      <c r="AA25" s="543">
        <f t="shared" si="19"/>
        <v>0</v>
      </c>
      <c r="AB25" s="543">
        <f t="shared" si="19"/>
        <v>0</v>
      </c>
      <c r="AC25" s="543">
        <f t="shared" si="19"/>
        <v>0</v>
      </c>
      <c r="AD25" s="543">
        <f t="shared" si="19"/>
        <v>0</v>
      </c>
      <c r="AE25" s="543">
        <f t="shared" si="19"/>
        <v>0</v>
      </c>
      <c r="AF25" s="543">
        <f t="shared" si="19"/>
        <v>0</v>
      </c>
      <c r="AG25" s="543">
        <f t="shared" si="19"/>
        <v>0</v>
      </c>
      <c r="AH25" s="543">
        <f t="shared" si="19"/>
        <v>0</v>
      </c>
      <c r="AI25" s="543">
        <f t="shared" si="19"/>
        <v>0</v>
      </c>
      <c r="AJ25" s="543">
        <f t="shared" si="19"/>
        <v>0</v>
      </c>
      <c r="AK25" s="543">
        <f t="shared" si="19"/>
        <v>0</v>
      </c>
      <c r="AL25" s="543">
        <f t="shared" si="19"/>
        <v>0</v>
      </c>
      <c r="AM25" s="543">
        <f t="shared" si="19"/>
        <v>0</v>
      </c>
      <c r="AN25" s="543">
        <f t="shared" si="19"/>
        <v>0</v>
      </c>
      <c r="AO25" s="543">
        <f t="shared" si="19"/>
        <v>0</v>
      </c>
      <c r="AP25" s="543">
        <f t="shared" si="19"/>
        <v>0</v>
      </c>
      <c r="AQ25" s="543">
        <f t="shared" si="19"/>
        <v>0</v>
      </c>
      <c r="AR25" s="543">
        <f t="shared" si="19"/>
        <v>0</v>
      </c>
      <c r="AS25" s="543">
        <f t="shared" si="19"/>
        <v>0</v>
      </c>
      <c r="AT25" s="543">
        <f t="shared" si="19"/>
        <v>0</v>
      </c>
      <c r="AU25" s="543">
        <f t="shared" si="19"/>
        <v>0</v>
      </c>
      <c r="AV25" s="543">
        <f t="shared" si="19"/>
        <v>0</v>
      </c>
      <c r="AW25" s="543">
        <f t="shared" si="19"/>
        <v>0</v>
      </c>
      <c r="AX25" s="543">
        <f t="shared" si="19"/>
        <v>0</v>
      </c>
      <c r="AY25" s="543">
        <f t="shared" si="19"/>
        <v>0</v>
      </c>
      <c r="AZ25" s="543">
        <f t="shared" si="19"/>
        <v>0</v>
      </c>
      <c r="BA25" s="543">
        <f t="shared" si="19"/>
        <v>0</v>
      </c>
      <c r="BB25" s="543">
        <f t="shared" si="19"/>
        <v>0</v>
      </c>
      <c r="BC25" s="543">
        <f t="shared" si="19"/>
        <v>0</v>
      </c>
      <c r="BF25" s="526" t="s">
        <v>75</v>
      </c>
      <c r="BG25" s="527">
        <f>BG6+BG9+SUM(BG12:BG18)+BG19+BG20+BG21+BG24</f>
        <v>137001</v>
      </c>
      <c r="BH25" s="502"/>
      <c r="BI25" s="502"/>
      <c r="BJ25" s="527">
        <f>SUM(BJ6:BJ24)</f>
        <v>5102.6666666666661</v>
      </c>
      <c r="BK25" s="527">
        <f>SUM(BK6:BK24)</f>
        <v>0</v>
      </c>
      <c r="BL25" s="502"/>
      <c r="BM25" s="502"/>
      <c r="BN25" s="502"/>
      <c r="BO25" s="502"/>
      <c r="BP25" s="528" t="e">
        <f>SUM(BP6:BP24)</f>
        <v>#DIV/0!</v>
      </c>
    </row>
    <row r="26" spans="2:70" x14ac:dyDescent="0.35">
      <c r="B26" s="508" t="str">
        <f t="shared" si="18"/>
        <v>Draff 1</v>
      </c>
      <c r="C26" s="544">
        <f t="shared" ref="C26:AH26" si="20">$BJ$18*C8</f>
        <v>417</v>
      </c>
      <c r="D26" s="544">
        <f t="shared" si="20"/>
        <v>0</v>
      </c>
      <c r="E26" s="544">
        <f t="shared" si="20"/>
        <v>0</v>
      </c>
      <c r="F26" s="544">
        <f t="shared" si="20"/>
        <v>0</v>
      </c>
      <c r="G26" s="544">
        <f t="shared" si="20"/>
        <v>0</v>
      </c>
      <c r="H26" s="544">
        <f t="shared" si="20"/>
        <v>0</v>
      </c>
      <c r="I26" s="544">
        <f t="shared" si="20"/>
        <v>0</v>
      </c>
      <c r="J26" s="544">
        <f t="shared" si="20"/>
        <v>0</v>
      </c>
      <c r="K26" s="544">
        <f t="shared" si="20"/>
        <v>0</v>
      </c>
      <c r="L26" s="544">
        <f t="shared" si="20"/>
        <v>0</v>
      </c>
      <c r="M26" s="544">
        <f t="shared" si="20"/>
        <v>0</v>
      </c>
      <c r="N26" s="544">
        <f t="shared" si="20"/>
        <v>0</v>
      </c>
      <c r="O26" s="544">
        <f t="shared" si="20"/>
        <v>0</v>
      </c>
      <c r="P26" s="544">
        <f t="shared" si="20"/>
        <v>0</v>
      </c>
      <c r="Q26" s="544">
        <f t="shared" si="20"/>
        <v>0</v>
      </c>
      <c r="R26" s="544">
        <f t="shared" si="20"/>
        <v>0</v>
      </c>
      <c r="S26" s="544">
        <f t="shared" si="20"/>
        <v>0</v>
      </c>
      <c r="T26" s="544">
        <f t="shared" si="20"/>
        <v>0</v>
      </c>
      <c r="U26" s="544">
        <f t="shared" si="20"/>
        <v>0</v>
      </c>
      <c r="V26" s="544">
        <f t="shared" si="20"/>
        <v>0</v>
      </c>
      <c r="W26" s="544">
        <f t="shared" si="20"/>
        <v>0</v>
      </c>
      <c r="X26" s="544">
        <f t="shared" si="20"/>
        <v>0</v>
      </c>
      <c r="Y26" s="544">
        <f t="shared" si="20"/>
        <v>0</v>
      </c>
      <c r="Z26" s="544">
        <f t="shared" si="20"/>
        <v>0</v>
      </c>
      <c r="AA26" s="544">
        <f t="shared" si="20"/>
        <v>0</v>
      </c>
      <c r="AB26" s="544">
        <f t="shared" si="20"/>
        <v>0</v>
      </c>
      <c r="AC26" s="544">
        <f t="shared" si="20"/>
        <v>0</v>
      </c>
      <c r="AD26" s="544">
        <f t="shared" si="20"/>
        <v>0</v>
      </c>
      <c r="AE26" s="544">
        <f t="shared" si="20"/>
        <v>0</v>
      </c>
      <c r="AF26" s="544">
        <f t="shared" si="20"/>
        <v>0</v>
      </c>
      <c r="AG26" s="544">
        <f t="shared" si="20"/>
        <v>0</v>
      </c>
      <c r="AH26" s="544">
        <f t="shared" si="20"/>
        <v>0</v>
      </c>
      <c r="AI26" s="544">
        <f t="shared" ref="AI26:BC26" si="21">$BJ$18*AI8</f>
        <v>0</v>
      </c>
      <c r="AJ26" s="544">
        <f t="shared" si="21"/>
        <v>0</v>
      </c>
      <c r="AK26" s="544">
        <f t="shared" si="21"/>
        <v>0</v>
      </c>
      <c r="AL26" s="544">
        <f t="shared" si="21"/>
        <v>0</v>
      </c>
      <c r="AM26" s="544">
        <f t="shared" si="21"/>
        <v>0</v>
      </c>
      <c r="AN26" s="544">
        <f t="shared" si="21"/>
        <v>0</v>
      </c>
      <c r="AO26" s="544">
        <f t="shared" si="21"/>
        <v>0</v>
      </c>
      <c r="AP26" s="544">
        <f t="shared" si="21"/>
        <v>0</v>
      </c>
      <c r="AQ26" s="544">
        <f t="shared" si="21"/>
        <v>0</v>
      </c>
      <c r="AR26" s="544">
        <f t="shared" si="21"/>
        <v>0</v>
      </c>
      <c r="AS26" s="544">
        <f t="shared" si="21"/>
        <v>0</v>
      </c>
      <c r="AT26" s="544">
        <f t="shared" si="21"/>
        <v>0</v>
      </c>
      <c r="AU26" s="544">
        <f t="shared" si="21"/>
        <v>0</v>
      </c>
      <c r="AV26" s="544">
        <f t="shared" si="21"/>
        <v>0</v>
      </c>
      <c r="AW26" s="544">
        <f t="shared" si="21"/>
        <v>0</v>
      </c>
      <c r="AX26" s="544">
        <f t="shared" si="21"/>
        <v>0</v>
      </c>
      <c r="AY26" s="544">
        <f t="shared" si="21"/>
        <v>0</v>
      </c>
      <c r="AZ26" s="544">
        <f t="shared" si="21"/>
        <v>0</v>
      </c>
      <c r="BA26" s="544">
        <f t="shared" si="21"/>
        <v>0</v>
      </c>
      <c r="BB26" s="544">
        <f t="shared" si="21"/>
        <v>0</v>
      </c>
      <c r="BC26" s="544">
        <f t="shared" si="21"/>
        <v>0</v>
      </c>
    </row>
    <row r="27" spans="2:70" x14ac:dyDescent="0.35">
      <c r="B27" s="508" t="str">
        <f t="shared" si="18"/>
        <v>Draff 2</v>
      </c>
      <c r="C27" s="543">
        <v>0</v>
      </c>
      <c r="D27" s="543">
        <v>0</v>
      </c>
      <c r="E27" s="543">
        <v>0</v>
      </c>
      <c r="F27" s="543">
        <v>0</v>
      </c>
      <c r="G27" s="543">
        <v>0</v>
      </c>
      <c r="H27" s="543">
        <v>0</v>
      </c>
      <c r="I27" s="543">
        <v>0</v>
      </c>
      <c r="J27" s="543">
        <v>0</v>
      </c>
      <c r="K27" s="543">
        <v>0</v>
      </c>
      <c r="L27" s="543">
        <v>0</v>
      </c>
      <c r="M27" s="543">
        <v>0</v>
      </c>
      <c r="N27" s="543">
        <v>0</v>
      </c>
      <c r="O27" s="543">
        <v>0</v>
      </c>
      <c r="P27" s="543">
        <v>0</v>
      </c>
      <c r="Q27" s="543">
        <v>0</v>
      </c>
      <c r="R27" s="543">
        <v>0</v>
      </c>
      <c r="S27" s="543">
        <v>0</v>
      </c>
      <c r="T27" s="543">
        <v>0</v>
      </c>
      <c r="U27" s="543">
        <v>0</v>
      </c>
      <c r="V27" s="543">
        <v>0</v>
      </c>
      <c r="W27" s="543">
        <v>0</v>
      </c>
      <c r="X27" s="543">
        <v>0</v>
      </c>
      <c r="Y27" s="543">
        <v>0</v>
      </c>
      <c r="Z27" s="543">
        <v>0</v>
      </c>
      <c r="AA27" s="543">
        <v>0</v>
      </c>
      <c r="AB27" s="543">
        <v>0</v>
      </c>
      <c r="AC27" s="543">
        <v>0</v>
      </c>
      <c r="AD27" s="543">
        <v>0</v>
      </c>
      <c r="AE27" s="543">
        <v>0</v>
      </c>
      <c r="AF27" s="543">
        <v>0</v>
      </c>
      <c r="AG27" s="543">
        <v>0</v>
      </c>
      <c r="AH27" s="543">
        <v>0</v>
      </c>
      <c r="AI27" s="543">
        <v>0</v>
      </c>
      <c r="AJ27" s="543">
        <v>0</v>
      </c>
      <c r="AK27" s="543">
        <v>0</v>
      </c>
      <c r="AL27" s="543">
        <v>0</v>
      </c>
      <c r="AM27" s="543">
        <v>0</v>
      </c>
      <c r="AN27" s="543">
        <v>0</v>
      </c>
      <c r="AO27" s="543">
        <v>0</v>
      </c>
      <c r="AP27" s="543">
        <v>0</v>
      </c>
      <c r="AQ27" s="543">
        <v>0</v>
      </c>
      <c r="AR27" s="543">
        <v>0</v>
      </c>
      <c r="AS27" s="543">
        <v>0</v>
      </c>
      <c r="AT27" s="543">
        <v>0</v>
      </c>
      <c r="AU27" s="543">
        <v>0</v>
      </c>
      <c r="AV27" s="543">
        <v>0</v>
      </c>
      <c r="AW27" s="543">
        <v>0</v>
      </c>
      <c r="AX27" s="543">
        <v>0</v>
      </c>
      <c r="AY27" s="543">
        <v>0</v>
      </c>
      <c r="AZ27" s="543">
        <v>0</v>
      </c>
      <c r="BA27" s="543">
        <v>0</v>
      </c>
      <c r="BB27" s="543">
        <v>0</v>
      </c>
      <c r="BC27" s="543">
        <v>0</v>
      </c>
      <c r="BF27" s="529" t="s">
        <v>397</v>
      </c>
      <c r="BG27" s="529" t="s">
        <v>634</v>
      </c>
      <c r="BH27" s="530" t="s">
        <v>274</v>
      </c>
    </row>
    <row r="28" spans="2:70" x14ac:dyDescent="0.35">
      <c r="B28" s="508" t="str">
        <f t="shared" si="18"/>
        <v>Draff 3</v>
      </c>
      <c r="C28" s="544">
        <v>0</v>
      </c>
      <c r="D28" s="544">
        <v>0</v>
      </c>
      <c r="E28" s="544">
        <v>0</v>
      </c>
      <c r="F28" s="544">
        <v>0</v>
      </c>
      <c r="G28" s="544">
        <v>0</v>
      </c>
      <c r="H28" s="544">
        <v>0</v>
      </c>
      <c r="I28" s="544">
        <v>0</v>
      </c>
      <c r="J28" s="544">
        <v>0</v>
      </c>
      <c r="K28" s="544">
        <v>0</v>
      </c>
      <c r="L28" s="544">
        <v>0</v>
      </c>
      <c r="M28" s="544">
        <v>0</v>
      </c>
      <c r="N28" s="544">
        <v>0</v>
      </c>
      <c r="O28" s="544">
        <v>0</v>
      </c>
      <c r="P28" s="544">
        <v>0</v>
      </c>
      <c r="Q28" s="544">
        <v>0</v>
      </c>
      <c r="R28" s="544">
        <v>0</v>
      </c>
      <c r="S28" s="544">
        <v>0</v>
      </c>
      <c r="T28" s="544">
        <v>0</v>
      </c>
      <c r="U28" s="544">
        <v>0</v>
      </c>
      <c r="V28" s="544">
        <v>0</v>
      </c>
      <c r="W28" s="544">
        <v>0</v>
      </c>
      <c r="X28" s="544">
        <v>0</v>
      </c>
      <c r="Y28" s="544">
        <v>0</v>
      </c>
      <c r="Z28" s="544">
        <v>0</v>
      </c>
      <c r="AA28" s="544">
        <v>0</v>
      </c>
      <c r="AB28" s="544">
        <v>0</v>
      </c>
      <c r="AC28" s="544">
        <v>0</v>
      </c>
      <c r="AD28" s="544">
        <v>0</v>
      </c>
      <c r="AE28" s="544">
        <v>0</v>
      </c>
      <c r="AF28" s="544">
        <v>0</v>
      </c>
      <c r="AG28" s="544">
        <v>0</v>
      </c>
      <c r="AH28" s="544">
        <v>0</v>
      </c>
      <c r="AI28" s="544">
        <v>0</v>
      </c>
      <c r="AJ28" s="544">
        <v>0</v>
      </c>
      <c r="AK28" s="544">
        <v>0</v>
      </c>
      <c r="AL28" s="544">
        <v>0</v>
      </c>
      <c r="AM28" s="544">
        <v>0</v>
      </c>
      <c r="AN28" s="544">
        <v>0</v>
      </c>
      <c r="AO28" s="544">
        <v>0</v>
      </c>
      <c r="AP28" s="544">
        <v>0</v>
      </c>
      <c r="AQ28" s="544">
        <v>0</v>
      </c>
      <c r="AR28" s="544">
        <v>0</v>
      </c>
      <c r="AS28" s="544">
        <v>0</v>
      </c>
      <c r="AT28" s="544">
        <v>0</v>
      </c>
      <c r="AU28" s="544">
        <v>0</v>
      </c>
      <c r="AV28" s="544">
        <v>0</v>
      </c>
      <c r="AW28" s="544">
        <v>0</v>
      </c>
      <c r="AX28" s="544">
        <v>0</v>
      </c>
      <c r="AY28" s="544">
        <v>0</v>
      </c>
      <c r="AZ28" s="544">
        <v>0</v>
      </c>
      <c r="BA28" s="544">
        <v>0</v>
      </c>
      <c r="BB28" s="544">
        <v>0</v>
      </c>
      <c r="BC28" s="544">
        <v>0</v>
      </c>
      <c r="BF28" s="484" t="s">
        <v>393</v>
      </c>
      <c r="BG28" s="485">
        <f>BF42</f>
        <v>1.68093259060403</v>
      </c>
      <c r="BH28" s="531" t="s">
        <v>635</v>
      </c>
    </row>
    <row r="29" spans="2:70" x14ac:dyDescent="0.35">
      <c r="B29" s="508" t="str">
        <f t="shared" si="18"/>
        <v>Draff 4</v>
      </c>
      <c r="C29" s="543">
        <f t="shared" ref="C29:AH29" si="22">$BJ$22*C11</f>
        <v>0</v>
      </c>
      <c r="D29" s="543">
        <f t="shared" si="22"/>
        <v>0</v>
      </c>
      <c r="E29" s="543">
        <f t="shared" si="22"/>
        <v>0</v>
      </c>
      <c r="F29" s="543">
        <f t="shared" si="22"/>
        <v>0</v>
      </c>
      <c r="G29" s="543">
        <f t="shared" si="22"/>
        <v>0</v>
      </c>
      <c r="H29" s="543">
        <f t="shared" si="22"/>
        <v>0</v>
      </c>
      <c r="I29" s="543">
        <f t="shared" si="22"/>
        <v>0</v>
      </c>
      <c r="J29" s="543">
        <f t="shared" si="22"/>
        <v>0</v>
      </c>
      <c r="K29" s="543">
        <f t="shared" si="22"/>
        <v>0</v>
      </c>
      <c r="L29" s="543">
        <f t="shared" si="22"/>
        <v>0</v>
      </c>
      <c r="M29" s="543">
        <f t="shared" si="22"/>
        <v>0</v>
      </c>
      <c r="N29" s="543">
        <f t="shared" si="22"/>
        <v>0</v>
      </c>
      <c r="O29" s="543">
        <f t="shared" si="22"/>
        <v>0</v>
      </c>
      <c r="P29" s="543">
        <f t="shared" si="22"/>
        <v>0</v>
      </c>
      <c r="Q29" s="543">
        <f t="shared" si="22"/>
        <v>0</v>
      </c>
      <c r="R29" s="543">
        <f t="shared" si="22"/>
        <v>0</v>
      </c>
      <c r="S29" s="543">
        <f t="shared" si="22"/>
        <v>0</v>
      </c>
      <c r="T29" s="543">
        <f t="shared" si="22"/>
        <v>0</v>
      </c>
      <c r="U29" s="543">
        <f t="shared" si="22"/>
        <v>0</v>
      </c>
      <c r="V29" s="543">
        <f t="shared" si="22"/>
        <v>0</v>
      </c>
      <c r="W29" s="543">
        <f t="shared" si="22"/>
        <v>0</v>
      </c>
      <c r="X29" s="543">
        <f t="shared" si="22"/>
        <v>0</v>
      </c>
      <c r="Y29" s="543">
        <f t="shared" si="22"/>
        <v>0</v>
      </c>
      <c r="Z29" s="543">
        <f t="shared" si="22"/>
        <v>0</v>
      </c>
      <c r="AA29" s="543">
        <f t="shared" si="22"/>
        <v>0</v>
      </c>
      <c r="AB29" s="543">
        <f t="shared" si="22"/>
        <v>0</v>
      </c>
      <c r="AC29" s="543">
        <f t="shared" si="22"/>
        <v>0</v>
      </c>
      <c r="AD29" s="543">
        <f t="shared" si="22"/>
        <v>0</v>
      </c>
      <c r="AE29" s="543">
        <f t="shared" si="22"/>
        <v>0</v>
      </c>
      <c r="AF29" s="543">
        <f t="shared" si="22"/>
        <v>0</v>
      </c>
      <c r="AG29" s="543">
        <f t="shared" si="22"/>
        <v>0</v>
      </c>
      <c r="AH29" s="543">
        <f t="shared" si="22"/>
        <v>0</v>
      </c>
      <c r="AI29" s="543">
        <f t="shared" ref="AI29:BC29" si="23">$BJ$22*AI11</f>
        <v>0</v>
      </c>
      <c r="AJ29" s="543">
        <f t="shared" si="23"/>
        <v>0</v>
      </c>
      <c r="AK29" s="543">
        <f t="shared" si="23"/>
        <v>0</v>
      </c>
      <c r="AL29" s="543">
        <f t="shared" si="23"/>
        <v>0</v>
      </c>
      <c r="AM29" s="543">
        <f t="shared" si="23"/>
        <v>0</v>
      </c>
      <c r="AN29" s="543">
        <f t="shared" si="23"/>
        <v>0</v>
      </c>
      <c r="AO29" s="543">
        <f t="shared" si="23"/>
        <v>0</v>
      </c>
      <c r="AP29" s="543">
        <f t="shared" si="23"/>
        <v>0</v>
      </c>
      <c r="AQ29" s="543">
        <f t="shared" si="23"/>
        <v>0</v>
      </c>
      <c r="AR29" s="543">
        <f t="shared" si="23"/>
        <v>0</v>
      </c>
      <c r="AS29" s="543">
        <f t="shared" si="23"/>
        <v>0</v>
      </c>
      <c r="AT29" s="543">
        <f t="shared" si="23"/>
        <v>0</v>
      </c>
      <c r="AU29" s="543">
        <f t="shared" si="23"/>
        <v>0</v>
      </c>
      <c r="AV29" s="543">
        <f t="shared" si="23"/>
        <v>0</v>
      </c>
      <c r="AW29" s="543">
        <f t="shared" si="23"/>
        <v>0</v>
      </c>
      <c r="AX29" s="543">
        <f t="shared" si="23"/>
        <v>0</v>
      </c>
      <c r="AY29" s="543">
        <f t="shared" si="23"/>
        <v>0</v>
      </c>
      <c r="AZ29" s="543">
        <f t="shared" si="23"/>
        <v>0</v>
      </c>
      <c r="BA29" s="543">
        <f t="shared" si="23"/>
        <v>0</v>
      </c>
      <c r="BB29" s="543">
        <f t="shared" si="23"/>
        <v>0</v>
      </c>
      <c r="BC29" s="543">
        <f t="shared" si="23"/>
        <v>0</v>
      </c>
      <c r="BF29" s="484" t="s">
        <v>394</v>
      </c>
      <c r="BG29" s="485">
        <f>BF43</f>
        <v>1.01790259060403</v>
      </c>
      <c r="BH29" s="531" t="s">
        <v>709</v>
      </c>
    </row>
    <row r="30" spans="2:70" x14ac:dyDescent="0.35">
      <c r="B30" s="508" t="str">
        <f t="shared" si="18"/>
        <v>Pot Ale Syrup</v>
      </c>
      <c r="C30" s="545">
        <v>0</v>
      </c>
      <c r="D30" s="545">
        <v>0</v>
      </c>
      <c r="E30" s="545">
        <v>0</v>
      </c>
      <c r="F30" s="545">
        <v>0</v>
      </c>
      <c r="G30" s="545">
        <v>0</v>
      </c>
      <c r="H30" s="545">
        <v>0</v>
      </c>
      <c r="I30" s="545">
        <v>0</v>
      </c>
      <c r="J30" s="545">
        <v>0</v>
      </c>
      <c r="K30" s="545">
        <v>0</v>
      </c>
      <c r="L30" s="545">
        <v>0</v>
      </c>
      <c r="M30" s="545">
        <v>0</v>
      </c>
      <c r="N30" s="545">
        <v>0</v>
      </c>
      <c r="O30" s="545">
        <v>0</v>
      </c>
      <c r="P30" s="545">
        <v>0</v>
      </c>
      <c r="Q30" s="545">
        <v>0</v>
      </c>
      <c r="R30" s="545">
        <v>0</v>
      </c>
      <c r="S30" s="545">
        <v>0</v>
      </c>
      <c r="T30" s="545">
        <v>0</v>
      </c>
      <c r="U30" s="545">
        <v>0</v>
      </c>
      <c r="V30" s="545">
        <v>0</v>
      </c>
      <c r="W30" s="545">
        <v>0</v>
      </c>
      <c r="X30" s="545">
        <v>0</v>
      </c>
      <c r="Y30" s="545">
        <v>0</v>
      </c>
      <c r="Z30" s="545">
        <v>0</v>
      </c>
      <c r="AA30" s="545">
        <v>0</v>
      </c>
      <c r="AB30" s="545">
        <v>0</v>
      </c>
      <c r="AC30" s="545">
        <v>0</v>
      </c>
      <c r="AD30" s="545">
        <v>0</v>
      </c>
      <c r="AE30" s="545">
        <v>0</v>
      </c>
      <c r="AF30" s="545">
        <v>0</v>
      </c>
      <c r="AG30" s="545">
        <v>0</v>
      </c>
      <c r="AH30" s="545">
        <v>0</v>
      </c>
      <c r="AI30" s="545">
        <v>0</v>
      </c>
      <c r="AJ30" s="545">
        <v>0</v>
      </c>
      <c r="AK30" s="545">
        <v>0</v>
      </c>
      <c r="AL30" s="545">
        <v>0</v>
      </c>
      <c r="AM30" s="545">
        <v>0</v>
      </c>
      <c r="AN30" s="545">
        <v>0</v>
      </c>
      <c r="AO30" s="545">
        <v>0</v>
      </c>
      <c r="AP30" s="545">
        <v>0</v>
      </c>
      <c r="AQ30" s="545">
        <v>0</v>
      </c>
      <c r="AR30" s="545">
        <v>0</v>
      </c>
      <c r="AS30" s="545">
        <v>0</v>
      </c>
      <c r="AT30" s="545">
        <v>0</v>
      </c>
      <c r="AU30" s="545">
        <v>0</v>
      </c>
      <c r="AV30" s="545">
        <v>0</v>
      </c>
      <c r="AW30" s="545">
        <v>0</v>
      </c>
      <c r="AX30" s="545">
        <v>0</v>
      </c>
      <c r="AY30" s="545">
        <v>0</v>
      </c>
      <c r="AZ30" s="545">
        <v>0</v>
      </c>
      <c r="BA30" s="545">
        <v>0</v>
      </c>
      <c r="BB30" s="545">
        <v>0</v>
      </c>
      <c r="BC30" s="545">
        <v>0</v>
      </c>
      <c r="BF30" s="484" t="s">
        <v>395</v>
      </c>
      <c r="BG30" s="485">
        <f>BF45</f>
        <v>1.7218578550335599</v>
      </c>
      <c r="BH30" s="531" t="s">
        <v>710</v>
      </c>
    </row>
    <row r="31" spans="2:70" x14ac:dyDescent="0.35">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46"/>
      <c r="AA31" s="546"/>
      <c r="AB31" s="546"/>
      <c r="AC31" s="546"/>
      <c r="AD31" s="546"/>
      <c r="AE31" s="546"/>
      <c r="AF31" s="546"/>
      <c r="AG31" s="546"/>
      <c r="AH31" s="546"/>
      <c r="AI31" s="546"/>
      <c r="AJ31" s="546"/>
      <c r="AK31" s="546"/>
      <c r="AL31" s="546"/>
      <c r="AM31" s="546"/>
      <c r="AN31" s="546"/>
      <c r="AO31" s="546"/>
      <c r="AP31" s="546"/>
      <c r="AQ31" s="546"/>
      <c r="AR31" s="546"/>
      <c r="AS31" s="546"/>
      <c r="AT31" s="546"/>
      <c r="AU31" s="546"/>
      <c r="AV31" s="546"/>
      <c r="AW31" s="546"/>
      <c r="AX31" s="546"/>
      <c r="AY31" s="546"/>
      <c r="AZ31" s="546"/>
      <c r="BA31" s="546"/>
      <c r="BB31" s="546"/>
      <c r="BC31" s="546"/>
      <c r="BF31" s="484" t="s">
        <v>396</v>
      </c>
      <c r="BG31" s="485">
        <f>BF46</f>
        <v>1.2018578550335599</v>
      </c>
      <c r="BH31" s="531" t="s">
        <v>711</v>
      </c>
    </row>
    <row r="32" spans="2:70" x14ac:dyDescent="0.35">
      <c r="C32" s="546"/>
      <c r="D32" s="546"/>
      <c r="E32" s="546"/>
      <c r="F32" s="546"/>
      <c r="G32" s="546"/>
      <c r="H32" s="546"/>
      <c r="I32" s="546"/>
      <c r="J32" s="546"/>
      <c r="K32" s="546"/>
      <c r="L32" s="546"/>
      <c r="M32" s="546"/>
      <c r="N32" s="546"/>
      <c r="O32" s="546"/>
      <c r="P32" s="546"/>
      <c r="Q32" s="546"/>
      <c r="R32" s="546"/>
      <c r="S32" s="546"/>
      <c r="T32" s="546"/>
      <c r="U32" s="546"/>
      <c r="V32" s="546"/>
      <c r="W32" s="546"/>
      <c r="X32" s="546"/>
      <c r="Y32" s="546"/>
      <c r="Z32" s="546"/>
      <c r="AA32" s="546"/>
      <c r="AB32" s="546"/>
      <c r="AC32" s="546"/>
      <c r="AD32" s="546"/>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46"/>
      <c r="BB32" s="546"/>
      <c r="BC32" s="546"/>
      <c r="BH32" s="532"/>
    </row>
    <row r="33" spans="2:68" x14ac:dyDescent="0.35">
      <c r="B33" s="507" t="s">
        <v>347</v>
      </c>
      <c r="C33" s="546"/>
      <c r="D33" s="546"/>
      <c r="E33" s="546"/>
      <c r="F33" s="546"/>
      <c r="G33" s="546"/>
      <c r="H33" s="546"/>
      <c r="I33" s="546"/>
      <c r="J33" s="546"/>
      <c r="K33" s="546"/>
      <c r="L33" s="546"/>
      <c r="M33" s="546"/>
      <c r="N33" s="546"/>
      <c r="O33" s="546"/>
      <c r="P33" s="546"/>
      <c r="Q33" s="546"/>
      <c r="R33" s="546"/>
      <c r="S33" s="546"/>
      <c r="T33" s="546"/>
      <c r="U33" s="546"/>
      <c r="V33" s="546"/>
      <c r="W33" s="546"/>
      <c r="X33" s="546"/>
      <c r="Y33" s="546"/>
      <c r="Z33" s="546"/>
      <c r="AA33" s="546"/>
      <c r="AB33" s="546"/>
      <c r="AC33" s="546"/>
      <c r="AD33" s="546"/>
      <c r="AE33" s="546"/>
      <c r="AF33" s="546"/>
      <c r="AG33" s="546"/>
      <c r="AH33" s="546"/>
      <c r="AI33" s="546"/>
      <c r="AJ33" s="546"/>
      <c r="AK33" s="546"/>
      <c r="AL33" s="546"/>
      <c r="AM33" s="546"/>
      <c r="AN33" s="546"/>
      <c r="AO33" s="546"/>
      <c r="AP33" s="546"/>
      <c r="AQ33" s="546"/>
      <c r="AR33" s="546"/>
      <c r="AS33" s="546"/>
      <c r="AT33" s="546"/>
      <c r="AU33" s="546"/>
      <c r="AV33" s="546"/>
      <c r="AW33" s="546"/>
      <c r="AX33" s="546"/>
      <c r="AY33" s="546"/>
      <c r="AZ33" s="546"/>
      <c r="BA33" s="546"/>
      <c r="BB33" s="546"/>
      <c r="BC33" s="546"/>
    </row>
    <row r="34" spans="2:68" x14ac:dyDescent="0.35">
      <c r="B34" s="508" t="str">
        <f>B6</f>
        <v>Rye Silage</v>
      </c>
      <c r="C34" s="542">
        <f>C15*C5</f>
        <v>31.3</v>
      </c>
      <c r="D34" s="542">
        <f t="shared" ref="D34:BC34" si="24">D15*D5</f>
        <v>62.6</v>
      </c>
      <c r="E34" s="542">
        <f t="shared" si="24"/>
        <v>93.9</v>
      </c>
      <c r="F34" s="542">
        <f t="shared" si="24"/>
        <v>125.2</v>
      </c>
      <c r="G34" s="542">
        <f t="shared" si="24"/>
        <v>156.5</v>
      </c>
      <c r="H34" s="542">
        <f t="shared" si="24"/>
        <v>187.8</v>
      </c>
      <c r="I34" s="542">
        <f t="shared" si="24"/>
        <v>219.1</v>
      </c>
      <c r="J34" s="542">
        <f t="shared" si="24"/>
        <v>250.4</v>
      </c>
      <c r="K34" s="542">
        <f t="shared" si="24"/>
        <v>281.7</v>
      </c>
      <c r="L34" s="542">
        <f t="shared" si="24"/>
        <v>313</v>
      </c>
      <c r="M34" s="542">
        <f t="shared" si="24"/>
        <v>0</v>
      </c>
      <c r="N34" s="542">
        <f t="shared" si="24"/>
        <v>0</v>
      </c>
      <c r="O34" s="542">
        <f t="shared" si="24"/>
        <v>0</v>
      </c>
      <c r="P34" s="542">
        <f t="shared" si="24"/>
        <v>0</v>
      </c>
      <c r="Q34" s="542">
        <f t="shared" si="24"/>
        <v>0</v>
      </c>
      <c r="R34" s="542">
        <f t="shared" si="24"/>
        <v>0</v>
      </c>
      <c r="S34" s="542">
        <f t="shared" si="24"/>
        <v>0</v>
      </c>
      <c r="T34" s="542">
        <f t="shared" si="24"/>
        <v>0</v>
      </c>
      <c r="U34" s="542">
        <f t="shared" si="24"/>
        <v>0</v>
      </c>
      <c r="V34" s="542">
        <f t="shared" si="24"/>
        <v>0</v>
      </c>
      <c r="W34" s="542">
        <f t="shared" si="24"/>
        <v>0</v>
      </c>
      <c r="X34" s="542">
        <f t="shared" si="24"/>
        <v>0</v>
      </c>
      <c r="Y34" s="542">
        <f t="shared" si="24"/>
        <v>0</v>
      </c>
      <c r="Z34" s="542">
        <f t="shared" si="24"/>
        <v>0</v>
      </c>
      <c r="AA34" s="542">
        <f t="shared" si="24"/>
        <v>0</v>
      </c>
      <c r="AB34" s="542">
        <f t="shared" si="24"/>
        <v>0</v>
      </c>
      <c r="AC34" s="542">
        <f t="shared" si="24"/>
        <v>0</v>
      </c>
      <c r="AD34" s="542">
        <f t="shared" si="24"/>
        <v>0</v>
      </c>
      <c r="AE34" s="542">
        <f t="shared" si="24"/>
        <v>0</v>
      </c>
      <c r="AF34" s="542">
        <f t="shared" si="24"/>
        <v>0</v>
      </c>
      <c r="AG34" s="542">
        <f t="shared" si="24"/>
        <v>0</v>
      </c>
      <c r="AH34" s="542">
        <f t="shared" si="24"/>
        <v>0</v>
      </c>
      <c r="AI34" s="542">
        <f t="shared" si="24"/>
        <v>0</v>
      </c>
      <c r="AJ34" s="542">
        <f t="shared" si="24"/>
        <v>0</v>
      </c>
      <c r="AK34" s="542">
        <f t="shared" si="24"/>
        <v>0</v>
      </c>
      <c r="AL34" s="542">
        <f t="shared" si="24"/>
        <v>0</v>
      </c>
      <c r="AM34" s="542">
        <f t="shared" si="24"/>
        <v>0</v>
      </c>
      <c r="AN34" s="542">
        <f t="shared" si="24"/>
        <v>0</v>
      </c>
      <c r="AO34" s="542">
        <f t="shared" si="24"/>
        <v>0</v>
      </c>
      <c r="AP34" s="542">
        <f t="shared" si="24"/>
        <v>0</v>
      </c>
      <c r="AQ34" s="542">
        <f t="shared" si="24"/>
        <v>0</v>
      </c>
      <c r="AR34" s="542">
        <f t="shared" si="24"/>
        <v>0</v>
      </c>
      <c r="AS34" s="542">
        <f t="shared" si="24"/>
        <v>0</v>
      </c>
      <c r="AT34" s="542">
        <f t="shared" si="24"/>
        <v>0</v>
      </c>
      <c r="AU34" s="542">
        <f t="shared" si="24"/>
        <v>0</v>
      </c>
      <c r="AV34" s="542">
        <f t="shared" si="24"/>
        <v>0</v>
      </c>
      <c r="AW34" s="542">
        <f t="shared" si="24"/>
        <v>0</v>
      </c>
      <c r="AX34" s="542">
        <f t="shared" si="24"/>
        <v>0</v>
      </c>
      <c r="AY34" s="542">
        <f t="shared" si="24"/>
        <v>0</v>
      </c>
      <c r="AZ34" s="542">
        <f t="shared" si="24"/>
        <v>0</v>
      </c>
      <c r="BA34" s="542">
        <f t="shared" si="24"/>
        <v>0</v>
      </c>
      <c r="BB34" s="542">
        <f t="shared" si="24"/>
        <v>0</v>
      </c>
      <c r="BC34" s="542">
        <f t="shared" si="24"/>
        <v>0</v>
      </c>
    </row>
    <row r="35" spans="2:68" x14ac:dyDescent="0.35">
      <c r="B35" s="508" t="str">
        <f t="shared" ref="B35:B40" si="25">B7</f>
        <v>Straw</v>
      </c>
      <c r="C35" s="543">
        <f t="shared" ref="C35:BC35" si="26">C16*C5</f>
        <v>20.900000000000002</v>
      </c>
      <c r="D35" s="543">
        <f t="shared" si="26"/>
        <v>41.800000000000004</v>
      </c>
      <c r="E35" s="543">
        <f t="shared" si="26"/>
        <v>62.7</v>
      </c>
      <c r="F35" s="543">
        <f t="shared" si="26"/>
        <v>83.600000000000009</v>
      </c>
      <c r="G35" s="543">
        <f t="shared" si="26"/>
        <v>104.50000000000001</v>
      </c>
      <c r="H35" s="543">
        <f t="shared" si="26"/>
        <v>125.4</v>
      </c>
      <c r="I35" s="543">
        <f t="shared" si="26"/>
        <v>146.30000000000001</v>
      </c>
      <c r="J35" s="543">
        <f t="shared" si="26"/>
        <v>167.20000000000002</v>
      </c>
      <c r="K35" s="543">
        <f t="shared" si="26"/>
        <v>188.10000000000002</v>
      </c>
      <c r="L35" s="543">
        <f t="shared" si="26"/>
        <v>209.00000000000003</v>
      </c>
      <c r="M35" s="543">
        <f t="shared" si="26"/>
        <v>0</v>
      </c>
      <c r="N35" s="543">
        <f t="shared" si="26"/>
        <v>0</v>
      </c>
      <c r="O35" s="543">
        <f t="shared" si="26"/>
        <v>0</v>
      </c>
      <c r="P35" s="543">
        <f t="shared" si="26"/>
        <v>0</v>
      </c>
      <c r="Q35" s="543">
        <f t="shared" si="26"/>
        <v>0</v>
      </c>
      <c r="R35" s="543">
        <f t="shared" si="26"/>
        <v>0</v>
      </c>
      <c r="S35" s="543">
        <f t="shared" si="26"/>
        <v>0</v>
      </c>
      <c r="T35" s="543">
        <f t="shared" si="26"/>
        <v>0</v>
      </c>
      <c r="U35" s="543">
        <f t="shared" si="26"/>
        <v>0</v>
      </c>
      <c r="V35" s="543">
        <f t="shared" si="26"/>
        <v>0</v>
      </c>
      <c r="W35" s="543">
        <f t="shared" si="26"/>
        <v>0</v>
      </c>
      <c r="X35" s="543">
        <f t="shared" si="26"/>
        <v>0</v>
      </c>
      <c r="Y35" s="543">
        <f t="shared" si="26"/>
        <v>0</v>
      </c>
      <c r="Z35" s="543">
        <f t="shared" si="26"/>
        <v>0</v>
      </c>
      <c r="AA35" s="543">
        <f t="shared" si="26"/>
        <v>0</v>
      </c>
      <c r="AB35" s="543">
        <f t="shared" si="26"/>
        <v>0</v>
      </c>
      <c r="AC35" s="543">
        <f t="shared" si="26"/>
        <v>0</v>
      </c>
      <c r="AD35" s="543">
        <f t="shared" si="26"/>
        <v>0</v>
      </c>
      <c r="AE35" s="543">
        <f t="shared" si="26"/>
        <v>0</v>
      </c>
      <c r="AF35" s="543">
        <f t="shared" si="26"/>
        <v>0</v>
      </c>
      <c r="AG35" s="543">
        <f t="shared" si="26"/>
        <v>0</v>
      </c>
      <c r="AH35" s="543">
        <f t="shared" si="26"/>
        <v>0</v>
      </c>
      <c r="AI35" s="543">
        <f t="shared" si="26"/>
        <v>0</v>
      </c>
      <c r="AJ35" s="543">
        <f t="shared" si="26"/>
        <v>0</v>
      </c>
      <c r="AK35" s="543">
        <f t="shared" si="26"/>
        <v>0</v>
      </c>
      <c r="AL35" s="543">
        <f t="shared" si="26"/>
        <v>0</v>
      </c>
      <c r="AM35" s="543">
        <f t="shared" si="26"/>
        <v>0</v>
      </c>
      <c r="AN35" s="543">
        <f t="shared" si="26"/>
        <v>0</v>
      </c>
      <c r="AO35" s="543">
        <f t="shared" si="26"/>
        <v>0</v>
      </c>
      <c r="AP35" s="543">
        <f t="shared" si="26"/>
        <v>0</v>
      </c>
      <c r="AQ35" s="543">
        <f t="shared" si="26"/>
        <v>0</v>
      </c>
      <c r="AR35" s="543">
        <f t="shared" si="26"/>
        <v>0</v>
      </c>
      <c r="AS35" s="543">
        <f t="shared" si="26"/>
        <v>0</v>
      </c>
      <c r="AT35" s="543">
        <f t="shared" si="26"/>
        <v>0</v>
      </c>
      <c r="AU35" s="543">
        <f t="shared" si="26"/>
        <v>0</v>
      </c>
      <c r="AV35" s="543">
        <f t="shared" si="26"/>
        <v>0</v>
      </c>
      <c r="AW35" s="543">
        <f t="shared" si="26"/>
        <v>0</v>
      </c>
      <c r="AX35" s="543">
        <f t="shared" si="26"/>
        <v>0</v>
      </c>
      <c r="AY35" s="543">
        <f t="shared" si="26"/>
        <v>0</v>
      </c>
      <c r="AZ35" s="543">
        <f t="shared" si="26"/>
        <v>0</v>
      </c>
      <c r="BA35" s="543">
        <f t="shared" si="26"/>
        <v>0</v>
      </c>
      <c r="BB35" s="543">
        <f t="shared" si="26"/>
        <v>0</v>
      </c>
      <c r="BC35" s="543">
        <f t="shared" si="26"/>
        <v>0</v>
      </c>
    </row>
    <row r="36" spans="2:68" x14ac:dyDescent="0.35">
      <c r="B36" s="508" t="str">
        <f t="shared" si="25"/>
        <v>Draff 1</v>
      </c>
      <c r="C36" s="544">
        <f t="shared" ref="C36:BC36" si="27">C17*C5</f>
        <v>1000</v>
      </c>
      <c r="D36" s="544">
        <f t="shared" si="27"/>
        <v>0</v>
      </c>
      <c r="E36" s="544">
        <f t="shared" si="27"/>
        <v>0</v>
      </c>
      <c r="F36" s="544">
        <f t="shared" si="27"/>
        <v>0</v>
      </c>
      <c r="G36" s="544">
        <f t="shared" si="27"/>
        <v>0</v>
      </c>
      <c r="H36" s="544">
        <f t="shared" si="27"/>
        <v>0</v>
      </c>
      <c r="I36" s="544">
        <f t="shared" si="27"/>
        <v>0</v>
      </c>
      <c r="J36" s="544">
        <f t="shared" si="27"/>
        <v>0</v>
      </c>
      <c r="K36" s="544">
        <f t="shared" si="27"/>
        <v>0</v>
      </c>
      <c r="L36" s="544">
        <f t="shared" si="27"/>
        <v>0</v>
      </c>
      <c r="M36" s="544">
        <f t="shared" si="27"/>
        <v>0</v>
      </c>
      <c r="N36" s="544">
        <f t="shared" si="27"/>
        <v>0</v>
      </c>
      <c r="O36" s="544">
        <f t="shared" si="27"/>
        <v>0</v>
      </c>
      <c r="P36" s="544">
        <f t="shared" si="27"/>
        <v>0</v>
      </c>
      <c r="Q36" s="544">
        <f t="shared" si="27"/>
        <v>0</v>
      </c>
      <c r="R36" s="544">
        <f t="shared" si="27"/>
        <v>0</v>
      </c>
      <c r="S36" s="544">
        <f t="shared" si="27"/>
        <v>0</v>
      </c>
      <c r="T36" s="544">
        <f t="shared" si="27"/>
        <v>0</v>
      </c>
      <c r="U36" s="544">
        <f t="shared" si="27"/>
        <v>0</v>
      </c>
      <c r="V36" s="544">
        <f t="shared" si="27"/>
        <v>0</v>
      </c>
      <c r="W36" s="544">
        <f t="shared" si="27"/>
        <v>0</v>
      </c>
      <c r="X36" s="544">
        <f t="shared" si="27"/>
        <v>0</v>
      </c>
      <c r="Y36" s="544">
        <f t="shared" si="27"/>
        <v>0</v>
      </c>
      <c r="Z36" s="544">
        <f t="shared" si="27"/>
        <v>0</v>
      </c>
      <c r="AA36" s="544">
        <f t="shared" si="27"/>
        <v>0</v>
      </c>
      <c r="AB36" s="544">
        <f t="shared" si="27"/>
        <v>0</v>
      </c>
      <c r="AC36" s="544">
        <f t="shared" si="27"/>
        <v>0</v>
      </c>
      <c r="AD36" s="544">
        <f t="shared" si="27"/>
        <v>0</v>
      </c>
      <c r="AE36" s="544">
        <f t="shared" si="27"/>
        <v>0</v>
      </c>
      <c r="AF36" s="544">
        <f t="shared" si="27"/>
        <v>0</v>
      </c>
      <c r="AG36" s="544">
        <f t="shared" si="27"/>
        <v>0</v>
      </c>
      <c r="AH36" s="544">
        <f t="shared" si="27"/>
        <v>0</v>
      </c>
      <c r="AI36" s="544">
        <f t="shared" si="27"/>
        <v>0</v>
      </c>
      <c r="AJ36" s="544">
        <f t="shared" si="27"/>
        <v>0</v>
      </c>
      <c r="AK36" s="544">
        <f t="shared" si="27"/>
        <v>0</v>
      </c>
      <c r="AL36" s="544">
        <f t="shared" si="27"/>
        <v>0</v>
      </c>
      <c r="AM36" s="544">
        <f t="shared" si="27"/>
        <v>0</v>
      </c>
      <c r="AN36" s="544">
        <f t="shared" si="27"/>
        <v>0</v>
      </c>
      <c r="AO36" s="544">
        <f t="shared" si="27"/>
        <v>0</v>
      </c>
      <c r="AP36" s="544">
        <f t="shared" si="27"/>
        <v>0</v>
      </c>
      <c r="AQ36" s="544">
        <f t="shared" si="27"/>
        <v>0</v>
      </c>
      <c r="AR36" s="544">
        <f t="shared" si="27"/>
        <v>0</v>
      </c>
      <c r="AS36" s="544">
        <f t="shared" si="27"/>
        <v>0</v>
      </c>
      <c r="AT36" s="544">
        <f t="shared" si="27"/>
        <v>0</v>
      </c>
      <c r="AU36" s="544">
        <f t="shared" si="27"/>
        <v>0</v>
      </c>
      <c r="AV36" s="544">
        <f t="shared" si="27"/>
        <v>0</v>
      </c>
      <c r="AW36" s="544">
        <f t="shared" si="27"/>
        <v>0</v>
      </c>
      <c r="AX36" s="544">
        <f t="shared" si="27"/>
        <v>0</v>
      </c>
      <c r="AY36" s="544">
        <f t="shared" si="27"/>
        <v>0</v>
      </c>
      <c r="AZ36" s="544">
        <f t="shared" si="27"/>
        <v>0</v>
      </c>
      <c r="BA36" s="544">
        <f t="shared" si="27"/>
        <v>0</v>
      </c>
      <c r="BB36" s="544">
        <f t="shared" si="27"/>
        <v>0</v>
      </c>
      <c r="BC36" s="544">
        <f t="shared" si="27"/>
        <v>0</v>
      </c>
    </row>
    <row r="37" spans="2:68" x14ac:dyDescent="0.35">
      <c r="B37" s="508" t="str">
        <f t="shared" si="25"/>
        <v>Draff 2</v>
      </c>
      <c r="C37" s="543">
        <f t="shared" ref="C37:BC37" si="28">C18*C5</f>
        <v>0</v>
      </c>
      <c r="D37" s="543">
        <f t="shared" si="28"/>
        <v>0</v>
      </c>
      <c r="E37" s="543">
        <f t="shared" si="28"/>
        <v>0</v>
      </c>
      <c r="F37" s="543">
        <f t="shared" si="28"/>
        <v>0</v>
      </c>
      <c r="G37" s="543">
        <f t="shared" si="28"/>
        <v>0</v>
      </c>
      <c r="H37" s="543">
        <f t="shared" si="28"/>
        <v>2172</v>
      </c>
      <c r="I37" s="543">
        <f t="shared" si="28"/>
        <v>0</v>
      </c>
      <c r="J37" s="543">
        <f t="shared" si="28"/>
        <v>0</v>
      </c>
      <c r="K37" s="543">
        <f t="shared" si="28"/>
        <v>0</v>
      </c>
      <c r="L37" s="543">
        <f t="shared" si="28"/>
        <v>0</v>
      </c>
      <c r="M37" s="543">
        <f t="shared" si="28"/>
        <v>0</v>
      </c>
      <c r="N37" s="543">
        <f t="shared" si="28"/>
        <v>0</v>
      </c>
      <c r="O37" s="543">
        <f t="shared" si="28"/>
        <v>0</v>
      </c>
      <c r="P37" s="543">
        <f t="shared" si="28"/>
        <v>0</v>
      </c>
      <c r="Q37" s="543">
        <f t="shared" si="28"/>
        <v>0</v>
      </c>
      <c r="R37" s="543">
        <f t="shared" si="28"/>
        <v>0</v>
      </c>
      <c r="S37" s="543">
        <f t="shared" si="28"/>
        <v>0</v>
      </c>
      <c r="T37" s="543">
        <f t="shared" si="28"/>
        <v>0</v>
      </c>
      <c r="U37" s="543">
        <f t="shared" si="28"/>
        <v>0</v>
      </c>
      <c r="V37" s="543">
        <f t="shared" si="28"/>
        <v>0</v>
      </c>
      <c r="W37" s="543">
        <f t="shared" si="28"/>
        <v>0</v>
      </c>
      <c r="X37" s="543">
        <f t="shared" si="28"/>
        <v>0</v>
      </c>
      <c r="Y37" s="543">
        <f t="shared" si="28"/>
        <v>0</v>
      </c>
      <c r="Z37" s="543">
        <f t="shared" si="28"/>
        <v>0</v>
      </c>
      <c r="AA37" s="543">
        <f t="shared" si="28"/>
        <v>0</v>
      </c>
      <c r="AB37" s="543">
        <f t="shared" si="28"/>
        <v>0</v>
      </c>
      <c r="AC37" s="543">
        <f t="shared" si="28"/>
        <v>0</v>
      </c>
      <c r="AD37" s="543">
        <f t="shared" si="28"/>
        <v>0</v>
      </c>
      <c r="AE37" s="543">
        <f t="shared" si="28"/>
        <v>0</v>
      </c>
      <c r="AF37" s="543">
        <f t="shared" si="28"/>
        <v>0</v>
      </c>
      <c r="AG37" s="543">
        <f t="shared" si="28"/>
        <v>0</v>
      </c>
      <c r="AH37" s="543">
        <f t="shared" si="28"/>
        <v>0</v>
      </c>
      <c r="AI37" s="543">
        <f t="shared" si="28"/>
        <v>0</v>
      </c>
      <c r="AJ37" s="543">
        <f t="shared" si="28"/>
        <v>0</v>
      </c>
      <c r="AK37" s="543">
        <f t="shared" si="28"/>
        <v>0</v>
      </c>
      <c r="AL37" s="543">
        <f t="shared" si="28"/>
        <v>0</v>
      </c>
      <c r="AM37" s="543">
        <f t="shared" si="28"/>
        <v>0</v>
      </c>
      <c r="AN37" s="543">
        <f t="shared" si="28"/>
        <v>0</v>
      </c>
      <c r="AO37" s="543">
        <f t="shared" si="28"/>
        <v>0</v>
      </c>
      <c r="AP37" s="543">
        <f t="shared" si="28"/>
        <v>0</v>
      </c>
      <c r="AQ37" s="543">
        <f t="shared" si="28"/>
        <v>0</v>
      </c>
      <c r="AR37" s="543">
        <f t="shared" si="28"/>
        <v>0</v>
      </c>
      <c r="AS37" s="543">
        <f t="shared" si="28"/>
        <v>0</v>
      </c>
      <c r="AT37" s="543">
        <f t="shared" si="28"/>
        <v>0</v>
      </c>
      <c r="AU37" s="543">
        <f t="shared" si="28"/>
        <v>0</v>
      </c>
      <c r="AV37" s="543">
        <f t="shared" si="28"/>
        <v>0</v>
      </c>
      <c r="AW37" s="543">
        <f t="shared" si="28"/>
        <v>0</v>
      </c>
      <c r="AX37" s="543">
        <f t="shared" si="28"/>
        <v>0</v>
      </c>
      <c r="AY37" s="543">
        <f t="shared" si="28"/>
        <v>0</v>
      </c>
      <c r="AZ37" s="543">
        <f t="shared" si="28"/>
        <v>0</v>
      </c>
      <c r="BA37" s="543">
        <f t="shared" si="28"/>
        <v>0</v>
      </c>
      <c r="BB37" s="543">
        <f t="shared" si="28"/>
        <v>0</v>
      </c>
      <c r="BC37" s="543">
        <f t="shared" si="28"/>
        <v>0</v>
      </c>
    </row>
    <row r="38" spans="2:68" x14ac:dyDescent="0.35">
      <c r="B38" s="508" t="str">
        <f t="shared" si="25"/>
        <v>Draff 3</v>
      </c>
      <c r="C38" s="542">
        <f t="shared" ref="C38:BC38" si="29">C19*C5</f>
        <v>0</v>
      </c>
      <c r="D38" s="542">
        <f t="shared" si="29"/>
        <v>0</v>
      </c>
      <c r="E38" s="542">
        <f t="shared" si="29"/>
        <v>0</v>
      </c>
      <c r="F38" s="542">
        <f t="shared" si="29"/>
        <v>0</v>
      </c>
      <c r="G38" s="542">
        <f t="shared" si="29"/>
        <v>0</v>
      </c>
      <c r="H38" s="542">
        <f t="shared" si="29"/>
        <v>0</v>
      </c>
      <c r="I38" s="542">
        <f t="shared" si="29"/>
        <v>0</v>
      </c>
      <c r="J38" s="542">
        <f t="shared" si="29"/>
        <v>0</v>
      </c>
      <c r="K38" s="542">
        <f t="shared" si="29"/>
        <v>0</v>
      </c>
      <c r="L38" s="542">
        <f t="shared" si="29"/>
        <v>0</v>
      </c>
      <c r="M38" s="542">
        <f t="shared" si="29"/>
        <v>3982</v>
      </c>
      <c r="N38" s="542">
        <f t="shared" si="29"/>
        <v>0</v>
      </c>
      <c r="O38" s="542">
        <f t="shared" si="29"/>
        <v>0</v>
      </c>
      <c r="P38" s="542">
        <f t="shared" si="29"/>
        <v>0</v>
      </c>
      <c r="Q38" s="542">
        <f t="shared" si="29"/>
        <v>0</v>
      </c>
      <c r="R38" s="542">
        <f t="shared" si="29"/>
        <v>0</v>
      </c>
      <c r="S38" s="542">
        <f t="shared" si="29"/>
        <v>0</v>
      </c>
      <c r="T38" s="542">
        <f t="shared" si="29"/>
        <v>0</v>
      </c>
      <c r="U38" s="542">
        <f t="shared" si="29"/>
        <v>0</v>
      </c>
      <c r="V38" s="542">
        <f t="shared" si="29"/>
        <v>0</v>
      </c>
      <c r="W38" s="542">
        <f t="shared" si="29"/>
        <v>0</v>
      </c>
      <c r="X38" s="542">
        <f t="shared" si="29"/>
        <v>0</v>
      </c>
      <c r="Y38" s="542">
        <f t="shared" si="29"/>
        <v>0</v>
      </c>
      <c r="Z38" s="542">
        <f t="shared" si="29"/>
        <v>0</v>
      </c>
      <c r="AA38" s="542">
        <f t="shared" si="29"/>
        <v>0</v>
      </c>
      <c r="AB38" s="542">
        <f t="shared" si="29"/>
        <v>0</v>
      </c>
      <c r="AC38" s="542">
        <f t="shared" si="29"/>
        <v>0</v>
      </c>
      <c r="AD38" s="542">
        <f t="shared" si="29"/>
        <v>0</v>
      </c>
      <c r="AE38" s="542">
        <f t="shared" si="29"/>
        <v>0</v>
      </c>
      <c r="AF38" s="542">
        <f t="shared" si="29"/>
        <v>0</v>
      </c>
      <c r="AG38" s="542">
        <f t="shared" si="29"/>
        <v>0</v>
      </c>
      <c r="AH38" s="542">
        <f t="shared" si="29"/>
        <v>0</v>
      </c>
      <c r="AI38" s="542">
        <f t="shared" si="29"/>
        <v>0</v>
      </c>
      <c r="AJ38" s="542">
        <f t="shared" si="29"/>
        <v>0</v>
      </c>
      <c r="AK38" s="542">
        <f t="shared" si="29"/>
        <v>0</v>
      </c>
      <c r="AL38" s="542">
        <f t="shared" si="29"/>
        <v>0</v>
      </c>
      <c r="AM38" s="542">
        <f t="shared" si="29"/>
        <v>0</v>
      </c>
      <c r="AN38" s="542">
        <f t="shared" si="29"/>
        <v>0</v>
      </c>
      <c r="AO38" s="542">
        <f t="shared" si="29"/>
        <v>0</v>
      </c>
      <c r="AP38" s="542">
        <f t="shared" si="29"/>
        <v>0</v>
      </c>
      <c r="AQ38" s="542">
        <f t="shared" si="29"/>
        <v>0</v>
      </c>
      <c r="AR38" s="542">
        <f t="shared" si="29"/>
        <v>0</v>
      </c>
      <c r="AS38" s="542">
        <f t="shared" si="29"/>
        <v>0</v>
      </c>
      <c r="AT38" s="542">
        <f t="shared" si="29"/>
        <v>0</v>
      </c>
      <c r="AU38" s="542">
        <f t="shared" si="29"/>
        <v>0</v>
      </c>
      <c r="AV38" s="542">
        <f t="shared" si="29"/>
        <v>0</v>
      </c>
      <c r="AW38" s="542">
        <f t="shared" si="29"/>
        <v>0</v>
      </c>
      <c r="AX38" s="542">
        <f t="shared" si="29"/>
        <v>0</v>
      </c>
      <c r="AY38" s="542">
        <f t="shared" si="29"/>
        <v>0</v>
      </c>
      <c r="AZ38" s="542">
        <f t="shared" si="29"/>
        <v>0</v>
      </c>
      <c r="BA38" s="542">
        <f t="shared" si="29"/>
        <v>0</v>
      </c>
      <c r="BB38" s="542">
        <f t="shared" si="29"/>
        <v>0</v>
      </c>
      <c r="BC38" s="542">
        <f t="shared" si="29"/>
        <v>0</v>
      </c>
      <c r="BG38" s="533"/>
    </row>
    <row r="39" spans="2:68" x14ac:dyDescent="0.35">
      <c r="B39" s="508" t="str">
        <f t="shared" si="25"/>
        <v>Draff 4</v>
      </c>
      <c r="C39" s="543">
        <f t="shared" ref="C39:BC39" si="30">C20*C5</f>
        <v>0</v>
      </c>
      <c r="D39" s="543">
        <f t="shared" si="30"/>
        <v>0</v>
      </c>
      <c r="E39" s="543">
        <f t="shared" si="30"/>
        <v>0</v>
      </c>
      <c r="F39" s="543">
        <f t="shared" si="30"/>
        <v>0</v>
      </c>
      <c r="G39" s="543">
        <f t="shared" si="30"/>
        <v>0</v>
      </c>
      <c r="H39" s="543">
        <f t="shared" si="30"/>
        <v>0</v>
      </c>
      <c r="I39" s="543">
        <f t="shared" si="30"/>
        <v>0</v>
      </c>
      <c r="J39" s="543">
        <f t="shared" si="30"/>
        <v>0</v>
      </c>
      <c r="K39" s="543">
        <f t="shared" si="30"/>
        <v>0</v>
      </c>
      <c r="L39" s="543">
        <f t="shared" si="30"/>
        <v>0</v>
      </c>
      <c r="M39" s="543">
        <f t="shared" si="30"/>
        <v>0</v>
      </c>
      <c r="N39" s="543">
        <f t="shared" si="30"/>
        <v>0</v>
      </c>
      <c r="O39" s="543">
        <f t="shared" si="30"/>
        <v>0</v>
      </c>
      <c r="P39" s="543">
        <f t="shared" si="30"/>
        <v>0</v>
      </c>
      <c r="Q39" s="543">
        <f t="shared" si="30"/>
        <v>5430</v>
      </c>
      <c r="R39" s="543">
        <f t="shared" si="30"/>
        <v>0</v>
      </c>
      <c r="S39" s="543">
        <f t="shared" si="30"/>
        <v>0</v>
      </c>
      <c r="T39" s="543">
        <f t="shared" si="30"/>
        <v>0</v>
      </c>
      <c r="U39" s="543">
        <f t="shared" si="30"/>
        <v>0</v>
      </c>
      <c r="V39" s="543">
        <f t="shared" si="30"/>
        <v>0</v>
      </c>
      <c r="W39" s="543">
        <f t="shared" si="30"/>
        <v>0</v>
      </c>
      <c r="X39" s="543">
        <f t="shared" si="30"/>
        <v>0</v>
      </c>
      <c r="Y39" s="543">
        <f t="shared" si="30"/>
        <v>0</v>
      </c>
      <c r="Z39" s="543">
        <f t="shared" si="30"/>
        <v>0</v>
      </c>
      <c r="AA39" s="543">
        <f t="shared" si="30"/>
        <v>0</v>
      </c>
      <c r="AB39" s="543">
        <f t="shared" si="30"/>
        <v>0</v>
      </c>
      <c r="AC39" s="543">
        <f t="shared" si="30"/>
        <v>0</v>
      </c>
      <c r="AD39" s="543">
        <f t="shared" si="30"/>
        <v>0</v>
      </c>
      <c r="AE39" s="543">
        <f t="shared" si="30"/>
        <v>0</v>
      </c>
      <c r="AF39" s="543">
        <f t="shared" si="30"/>
        <v>0</v>
      </c>
      <c r="AG39" s="543">
        <f t="shared" si="30"/>
        <v>0</v>
      </c>
      <c r="AH39" s="543">
        <f t="shared" si="30"/>
        <v>0</v>
      </c>
      <c r="AI39" s="543">
        <f t="shared" si="30"/>
        <v>0</v>
      </c>
      <c r="AJ39" s="543">
        <f t="shared" si="30"/>
        <v>0</v>
      </c>
      <c r="AK39" s="543">
        <f t="shared" si="30"/>
        <v>0</v>
      </c>
      <c r="AL39" s="543">
        <f t="shared" si="30"/>
        <v>0</v>
      </c>
      <c r="AM39" s="543">
        <f t="shared" si="30"/>
        <v>0</v>
      </c>
      <c r="AN39" s="543">
        <f t="shared" si="30"/>
        <v>0</v>
      </c>
      <c r="AO39" s="543">
        <f t="shared" si="30"/>
        <v>0</v>
      </c>
      <c r="AP39" s="543">
        <f t="shared" si="30"/>
        <v>0</v>
      </c>
      <c r="AQ39" s="543">
        <f t="shared" si="30"/>
        <v>0</v>
      </c>
      <c r="AR39" s="543">
        <f t="shared" si="30"/>
        <v>0</v>
      </c>
      <c r="AS39" s="543">
        <f t="shared" si="30"/>
        <v>0</v>
      </c>
      <c r="AT39" s="543">
        <f t="shared" si="30"/>
        <v>0</v>
      </c>
      <c r="AU39" s="543">
        <f t="shared" si="30"/>
        <v>0</v>
      </c>
      <c r="AV39" s="543">
        <f t="shared" si="30"/>
        <v>0</v>
      </c>
      <c r="AW39" s="543">
        <f t="shared" si="30"/>
        <v>0</v>
      </c>
      <c r="AX39" s="543">
        <f t="shared" si="30"/>
        <v>0</v>
      </c>
      <c r="AY39" s="543">
        <f t="shared" si="30"/>
        <v>0</v>
      </c>
      <c r="AZ39" s="543">
        <f t="shared" si="30"/>
        <v>0</v>
      </c>
      <c r="BA39" s="543">
        <f t="shared" si="30"/>
        <v>0</v>
      </c>
      <c r="BB39" s="543">
        <f t="shared" si="30"/>
        <v>0</v>
      </c>
      <c r="BC39" s="543">
        <f t="shared" si="30"/>
        <v>0</v>
      </c>
    </row>
    <row r="40" spans="2:68" x14ac:dyDescent="0.35">
      <c r="B40" s="508" t="str">
        <f t="shared" si="25"/>
        <v>Pot Ale Syrup</v>
      </c>
      <c r="C40" s="547">
        <f t="shared" ref="C40:BC40" si="31">C21*C5</f>
        <v>281.25</v>
      </c>
      <c r="D40" s="547">
        <f t="shared" si="31"/>
        <v>0</v>
      </c>
      <c r="E40" s="547">
        <f t="shared" si="31"/>
        <v>0</v>
      </c>
      <c r="F40" s="547">
        <f t="shared" si="31"/>
        <v>0</v>
      </c>
      <c r="G40" s="547">
        <f t="shared" si="31"/>
        <v>0</v>
      </c>
      <c r="H40" s="547">
        <f t="shared" si="31"/>
        <v>1687.5</v>
      </c>
      <c r="I40" s="547">
        <f t="shared" si="31"/>
        <v>0</v>
      </c>
      <c r="J40" s="547">
        <f t="shared" si="31"/>
        <v>0</v>
      </c>
      <c r="K40" s="547">
        <f t="shared" si="31"/>
        <v>0</v>
      </c>
      <c r="L40" s="547">
        <f t="shared" si="31"/>
        <v>0</v>
      </c>
      <c r="M40" s="547">
        <f t="shared" si="31"/>
        <v>3093.75</v>
      </c>
      <c r="N40" s="547">
        <f t="shared" si="31"/>
        <v>0</v>
      </c>
      <c r="O40" s="547">
        <f t="shared" si="31"/>
        <v>0</v>
      </c>
      <c r="P40" s="547">
        <f t="shared" si="31"/>
        <v>0</v>
      </c>
      <c r="Q40" s="547">
        <f t="shared" si="31"/>
        <v>4218.75</v>
      </c>
      <c r="R40" s="547">
        <f t="shared" si="31"/>
        <v>0</v>
      </c>
      <c r="S40" s="547">
        <f t="shared" si="31"/>
        <v>0</v>
      </c>
      <c r="T40" s="547">
        <f t="shared" si="31"/>
        <v>0</v>
      </c>
      <c r="U40" s="547">
        <f t="shared" si="31"/>
        <v>0</v>
      </c>
      <c r="V40" s="547">
        <f t="shared" si="31"/>
        <v>0</v>
      </c>
      <c r="W40" s="547">
        <f t="shared" si="31"/>
        <v>0</v>
      </c>
      <c r="X40" s="547">
        <f t="shared" si="31"/>
        <v>0</v>
      </c>
      <c r="Y40" s="547">
        <f t="shared" si="31"/>
        <v>0</v>
      </c>
      <c r="Z40" s="547">
        <f t="shared" si="31"/>
        <v>0</v>
      </c>
      <c r="AA40" s="547">
        <f t="shared" si="31"/>
        <v>0</v>
      </c>
      <c r="AB40" s="547">
        <f t="shared" si="31"/>
        <v>0</v>
      </c>
      <c r="AC40" s="547">
        <f t="shared" si="31"/>
        <v>0</v>
      </c>
      <c r="AD40" s="547">
        <f t="shared" si="31"/>
        <v>0</v>
      </c>
      <c r="AE40" s="547">
        <f t="shared" si="31"/>
        <v>0</v>
      </c>
      <c r="AF40" s="547">
        <f t="shared" si="31"/>
        <v>0</v>
      </c>
      <c r="AG40" s="547">
        <f t="shared" si="31"/>
        <v>0</v>
      </c>
      <c r="AH40" s="547">
        <f t="shared" si="31"/>
        <v>0</v>
      </c>
      <c r="AI40" s="547">
        <f t="shared" si="31"/>
        <v>0</v>
      </c>
      <c r="AJ40" s="547">
        <f t="shared" si="31"/>
        <v>0</v>
      </c>
      <c r="AK40" s="547">
        <f t="shared" si="31"/>
        <v>0</v>
      </c>
      <c r="AL40" s="547">
        <f t="shared" si="31"/>
        <v>0</v>
      </c>
      <c r="AM40" s="547">
        <f t="shared" si="31"/>
        <v>0</v>
      </c>
      <c r="AN40" s="547">
        <f t="shared" si="31"/>
        <v>0</v>
      </c>
      <c r="AO40" s="547">
        <f t="shared" si="31"/>
        <v>0</v>
      </c>
      <c r="AP40" s="547">
        <f t="shared" si="31"/>
        <v>0</v>
      </c>
      <c r="AQ40" s="547">
        <f t="shared" si="31"/>
        <v>0</v>
      </c>
      <c r="AR40" s="547">
        <f t="shared" si="31"/>
        <v>0</v>
      </c>
      <c r="AS40" s="547">
        <f t="shared" si="31"/>
        <v>0</v>
      </c>
      <c r="AT40" s="547">
        <f t="shared" si="31"/>
        <v>0</v>
      </c>
      <c r="AU40" s="547">
        <f t="shared" si="31"/>
        <v>0</v>
      </c>
      <c r="AV40" s="547">
        <f t="shared" si="31"/>
        <v>0</v>
      </c>
      <c r="AW40" s="547">
        <f t="shared" si="31"/>
        <v>0</v>
      </c>
      <c r="AX40" s="547">
        <f t="shared" si="31"/>
        <v>0</v>
      </c>
      <c r="AY40" s="547">
        <f t="shared" si="31"/>
        <v>0</v>
      </c>
      <c r="AZ40" s="547">
        <f t="shared" si="31"/>
        <v>0</v>
      </c>
      <c r="BA40" s="547">
        <f t="shared" si="31"/>
        <v>0</v>
      </c>
      <c r="BB40" s="547">
        <f t="shared" si="31"/>
        <v>0</v>
      </c>
      <c r="BC40" s="547">
        <f t="shared" si="31"/>
        <v>0</v>
      </c>
      <c r="BF40" s="486" t="s">
        <v>348</v>
      </c>
    </row>
    <row r="41" spans="2:68" x14ac:dyDescent="0.35">
      <c r="C41" s="546"/>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546"/>
      <c r="BF41" s="534" t="s">
        <v>430</v>
      </c>
    </row>
    <row r="42" spans="2:68" x14ac:dyDescent="0.35">
      <c r="B42" s="507" t="s">
        <v>352</v>
      </c>
      <c r="C42" s="546"/>
      <c r="D42" s="546"/>
      <c r="E42" s="546"/>
      <c r="F42" s="546"/>
      <c r="G42" s="546"/>
      <c r="H42" s="546"/>
      <c r="I42" s="546"/>
      <c r="J42" s="546"/>
      <c r="K42" s="546"/>
      <c r="L42" s="546"/>
      <c r="M42" s="546"/>
      <c r="N42" s="546"/>
      <c r="O42" s="546"/>
      <c r="P42" s="546"/>
      <c r="Q42" s="546"/>
      <c r="R42" s="546"/>
      <c r="S42" s="546"/>
      <c r="T42" s="546"/>
      <c r="U42" s="546"/>
      <c r="V42" s="546"/>
      <c r="W42" s="546"/>
      <c r="X42" s="546"/>
      <c r="Y42" s="546"/>
      <c r="Z42" s="546"/>
      <c r="AA42" s="546"/>
      <c r="AB42" s="546"/>
      <c r="AC42" s="546"/>
      <c r="AD42" s="546"/>
      <c r="AE42" s="546"/>
      <c r="AF42" s="546"/>
      <c r="AG42" s="546"/>
      <c r="AH42" s="546"/>
      <c r="AI42" s="546"/>
      <c r="AJ42" s="546"/>
      <c r="AK42" s="546"/>
      <c r="AL42" s="546"/>
      <c r="AM42" s="546"/>
      <c r="AN42" s="546"/>
      <c r="AO42" s="546"/>
      <c r="AP42" s="546"/>
      <c r="AQ42" s="546"/>
      <c r="AR42" s="546"/>
      <c r="AS42" s="546"/>
      <c r="AT42" s="546"/>
      <c r="AU42" s="546"/>
      <c r="AV42" s="546"/>
      <c r="AW42" s="546"/>
      <c r="AX42" s="546"/>
      <c r="AY42" s="546"/>
      <c r="AZ42" s="546"/>
      <c r="BA42" s="546"/>
      <c r="BB42" s="546"/>
      <c r="BC42" s="546"/>
      <c r="BF42" s="535">
        <v>1.68093259060403</v>
      </c>
      <c r="BG42" s="486" t="s">
        <v>349</v>
      </c>
      <c r="BP42" s="535"/>
    </row>
    <row r="43" spans="2:68" x14ac:dyDescent="0.35">
      <c r="B43" s="508" t="str">
        <f>B6</f>
        <v>Rye Silage</v>
      </c>
      <c r="C43" s="542">
        <f>C24*C5</f>
        <v>53.6</v>
      </c>
      <c r="D43" s="542">
        <f t="shared" ref="D43:BC43" si="32">D24*D5</f>
        <v>107.2</v>
      </c>
      <c r="E43" s="542">
        <f t="shared" si="32"/>
        <v>160.80000000000001</v>
      </c>
      <c r="F43" s="542">
        <f t="shared" si="32"/>
        <v>214.4</v>
      </c>
      <c r="G43" s="542">
        <f t="shared" si="32"/>
        <v>268</v>
      </c>
      <c r="H43" s="542">
        <f t="shared" si="32"/>
        <v>321.60000000000002</v>
      </c>
      <c r="I43" s="542">
        <f t="shared" si="32"/>
        <v>375.2</v>
      </c>
      <c r="J43" s="542">
        <f t="shared" si="32"/>
        <v>428.8</v>
      </c>
      <c r="K43" s="542">
        <f t="shared" si="32"/>
        <v>482.40000000000003</v>
      </c>
      <c r="L43" s="542">
        <f t="shared" si="32"/>
        <v>536</v>
      </c>
      <c r="M43" s="542">
        <f t="shared" si="32"/>
        <v>0</v>
      </c>
      <c r="N43" s="542">
        <f t="shared" si="32"/>
        <v>0</v>
      </c>
      <c r="O43" s="542">
        <f t="shared" si="32"/>
        <v>0</v>
      </c>
      <c r="P43" s="542">
        <f t="shared" si="32"/>
        <v>0</v>
      </c>
      <c r="Q43" s="542">
        <f t="shared" si="32"/>
        <v>0</v>
      </c>
      <c r="R43" s="542">
        <f t="shared" si="32"/>
        <v>0</v>
      </c>
      <c r="S43" s="542">
        <f t="shared" si="32"/>
        <v>0</v>
      </c>
      <c r="T43" s="542">
        <f t="shared" si="32"/>
        <v>0</v>
      </c>
      <c r="U43" s="542">
        <f t="shared" si="32"/>
        <v>0</v>
      </c>
      <c r="V43" s="542">
        <f t="shared" si="32"/>
        <v>0</v>
      </c>
      <c r="W43" s="542">
        <f t="shared" si="32"/>
        <v>0</v>
      </c>
      <c r="X43" s="542">
        <f t="shared" si="32"/>
        <v>0</v>
      </c>
      <c r="Y43" s="542">
        <f t="shared" si="32"/>
        <v>0</v>
      </c>
      <c r="Z43" s="542">
        <f t="shared" si="32"/>
        <v>0</v>
      </c>
      <c r="AA43" s="542">
        <f t="shared" si="32"/>
        <v>0</v>
      </c>
      <c r="AB43" s="542">
        <f t="shared" si="32"/>
        <v>0</v>
      </c>
      <c r="AC43" s="542">
        <f t="shared" si="32"/>
        <v>0</v>
      </c>
      <c r="AD43" s="542">
        <f t="shared" si="32"/>
        <v>0</v>
      </c>
      <c r="AE43" s="542">
        <f t="shared" si="32"/>
        <v>0</v>
      </c>
      <c r="AF43" s="542">
        <f t="shared" si="32"/>
        <v>0</v>
      </c>
      <c r="AG43" s="542">
        <f t="shared" si="32"/>
        <v>0</v>
      </c>
      <c r="AH43" s="542">
        <f t="shared" si="32"/>
        <v>0</v>
      </c>
      <c r="AI43" s="542">
        <f t="shared" si="32"/>
        <v>0</v>
      </c>
      <c r="AJ43" s="542">
        <f t="shared" si="32"/>
        <v>0</v>
      </c>
      <c r="AK43" s="542">
        <f t="shared" si="32"/>
        <v>0</v>
      </c>
      <c r="AL43" s="542">
        <f t="shared" si="32"/>
        <v>0</v>
      </c>
      <c r="AM43" s="542">
        <f t="shared" si="32"/>
        <v>0</v>
      </c>
      <c r="AN43" s="542">
        <f t="shared" si="32"/>
        <v>0</v>
      </c>
      <c r="AO43" s="542">
        <f t="shared" si="32"/>
        <v>0</v>
      </c>
      <c r="AP43" s="542">
        <f t="shared" si="32"/>
        <v>0</v>
      </c>
      <c r="AQ43" s="542">
        <f t="shared" si="32"/>
        <v>0</v>
      </c>
      <c r="AR43" s="542">
        <f t="shared" si="32"/>
        <v>0</v>
      </c>
      <c r="AS43" s="542">
        <f t="shared" si="32"/>
        <v>0</v>
      </c>
      <c r="AT43" s="542">
        <f t="shared" si="32"/>
        <v>0</v>
      </c>
      <c r="AU43" s="542">
        <f t="shared" si="32"/>
        <v>0</v>
      </c>
      <c r="AV43" s="542">
        <f t="shared" si="32"/>
        <v>0</v>
      </c>
      <c r="AW43" s="542">
        <f t="shared" si="32"/>
        <v>0</v>
      </c>
      <c r="AX43" s="542">
        <f t="shared" si="32"/>
        <v>0</v>
      </c>
      <c r="AY43" s="542">
        <f t="shared" si="32"/>
        <v>0</v>
      </c>
      <c r="AZ43" s="542">
        <f t="shared" si="32"/>
        <v>0</v>
      </c>
      <c r="BA43" s="542">
        <f t="shared" si="32"/>
        <v>0</v>
      </c>
      <c r="BB43" s="542">
        <f t="shared" si="32"/>
        <v>0</v>
      </c>
      <c r="BC43" s="542">
        <f t="shared" si="32"/>
        <v>0</v>
      </c>
      <c r="BF43" s="535">
        <v>1.01790259060403</v>
      </c>
      <c r="BG43" s="486" t="s">
        <v>350</v>
      </c>
    </row>
    <row r="44" spans="2:68" x14ac:dyDescent="0.35">
      <c r="B44" s="508" t="str">
        <f t="shared" ref="B44:B49" si="33">B7</f>
        <v>Straw</v>
      </c>
      <c r="C44" s="543">
        <f t="shared" ref="C44:BC44" si="34">C25*C5</f>
        <v>0</v>
      </c>
      <c r="D44" s="543">
        <f t="shared" si="34"/>
        <v>0</v>
      </c>
      <c r="E44" s="543">
        <f t="shared" si="34"/>
        <v>0</v>
      </c>
      <c r="F44" s="543">
        <f t="shared" si="34"/>
        <v>0</v>
      </c>
      <c r="G44" s="543">
        <f t="shared" si="34"/>
        <v>0</v>
      </c>
      <c r="H44" s="543">
        <f t="shared" si="34"/>
        <v>0</v>
      </c>
      <c r="I44" s="543">
        <f t="shared" si="34"/>
        <v>0</v>
      </c>
      <c r="J44" s="543">
        <f t="shared" si="34"/>
        <v>0</v>
      </c>
      <c r="K44" s="543">
        <f t="shared" si="34"/>
        <v>0</v>
      </c>
      <c r="L44" s="543">
        <f t="shared" si="34"/>
        <v>0</v>
      </c>
      <c r="M44" s="543">
        <f t="shared" si="34"/>
        <v>0</v>
      </c>
      <c r="N44" s="543">
        <f t="shared" si="34"/>
        <v>0</v>
      </c>
      <c r="O44" s="543">
        <f t="shared" si="34"/>
        <v>0</v>
      </c>
      <c r="P44" s="543">
        <f t="shared" si="34"/>
        <v>0</v>
      </c>
      <c r="Q44" s="543">
        <f t="shared" si="34"/>
        <v>0</v>
      </c>
      <c r="R44" s="543">
        <f t="shared" si="34"/>
        <v>0</v>
      </c>
      <c r="S44" s="543">
        <f t="shared" si="34"/>
        <v>0</v>
      </c>
      <c r="T44" s="543">
        <f t="shared" si="34"/>
        <v>0</v>
      </c>
      <c r="U44" s="543">
        <f t="shared" si="34"/>
        <v>0</v>
      </c>
      <c r="V44" s="543">
        <f t="shared" si="34"/>
        <v>0</v>
      </c>
      <c r="W44" s="543">
        <f t="shared" si="34"/>
        <v>0</v>
      </c>
      <c r="X44" s="543">
        <f t="shared" si="34"/>
        <v>0</v>
      </c>
      <c r="Y44" s="543">
        <f t="shared" si="34"/>
        <v>0</v>
      </c>
      <c r="Z44" s="543">
        <f t="shared" si="34"/>
        <v>0</v>
      </c>
      <c r="AA44" s="543">
        <f t="shared" si="34"/>
        <v>0</v>
      </c>
      <c r="AB44" s="543">
        <f t="shared" si="34"/>
        <v>0</v>
      </c>
      <c r="AC44" s="543">
        <f t="shared" si="34"/>
        <v>0</v>
      </c>
      <c r="AD44" s="543">
        <f t="shared" si="34"/>
        <v>0</v>
      </c>
      <c r="AE44" s="543">
        <f t="shared" si="34"/>
        <v>0</v>
      </c>
      <c r="AF44" s="543">
        <f t="shared" si="34"/>
        <v>0</v>
      </c>
      <c r="AG44" s="543">
        <f t="shared" si="34"/>
        <v>0</v>
      </c>
      <c r="AH44" s="543">
        <f t="shared" si="34"/>
        <v>0</v>
      </c>
      <c r="AI44" s="543">
        <f t="shared" si="34"/>
        <v>0</v>
      </c>
      <c r="AJ44" s="543">
        <f t="shared" si="34"/>
        <v>0</v>
      </c>
      <c r="AK44" s="543">
        <f t="shared" si="34"/>
        <v>0</v>
      </c>
      <c r="AL44" s="543">
        <f t="shared" si="34"/>
        <v>0</v>
      </c>
      <c r="AM44" s="543">
        <f t="shared" si="34"/>
        <v>0</v>
      </c>
      <c r="AN44" s="543">
        <f t="shared" si="34"/>
        <v>0</v>
      </c>
      <c r="AO44" s="543">
        <f t="shared" si="34"/>
        <v>0</v>
      </c>
      <c r="AP44" s="543">
        <f t="shared" si="34"/>
        <v>0</v>
      </c>
      <c r="AQ44" s="543">
        <f t="shared" si="34"/>
        <v>0</v>
      </c>
      <c r="AR44" s="543">
        <f t="shared" si="34"/>
        <v>0</v>
      </c>
      <c r="AS44" s="543">
        <f t="shared" si="34"/>
        <v>0</v>
      </c>
      <c r="AT44" s="543">
        <f t="shared" si="34"/>
        <v>0</v>
      </c>
      <c r="AU44" s="543">
        <f t="shared" si="34"/>
        <v>0</v>
      </c>
      <c r="AV44" s="543">
        <f t="shared" si="34"/>
        <v>0</v>
      </c>
      <c r="AW44" s="543">
        <f t="shared" si="34"/>
        <v>0</v>
      </c>
      <c r="AX44" s="543">
        <f t="shared" si="34"/>
        <v>0</v>
      </c>
      <c r="AY44" s="543">
        <f t="shared" si="34"/>
        <v>0</v>
      </c>
      <c r="AZ44" s="543">
        <f t="shared" si="34"/>
        <v>0</v>
      </c>
      <c r="BA44" s="543">
        <f t="shared" si="34"/>
        <v>0</v>
      </c>
      <c r="BB44" s="543">
        <f t="shared" si="34"/>
        <v>0</v>
      </c>
      <c r="BC44" s="543">
        <f t="shared" si="34"/>
        <v>0</v>
      </c>
      <c r="BF44" s="536" t="s">
        <v>351</v>
      </c>
    </row>
    <row r="45" spans="2:68" x14ac:dyDescent="0.35">
      <c r="B45" s="508" t="str">
        <f t="shared" si="33"/>
        <v>Draff 1</v>
      </c>
      <c r="C45" s="544">
        <f t="shared" ref="C45:BC45" si="35">C26*C5</f>
        <v>417</v>
      </c>
      <c r="D45" s="544">
        <f t="shared" si="35"/>
        <v>0</v>
      </c>
      <c r="E45" s="544">
        <f t="shared" si="35"/>
        <v>0</v>
      </c>
      <c r="F45" s="544">
        <f t="shared" si="35"/>
        <v>0</v>
      </c>
      <c r="G45" s="544">
        <f t="shared" si="35"/>
        <v>0</v>
      </c>
      <c r="H45" s="544">
        <f t="shared" si="35"/>
        <v>0</v>
      </c>
      <c r="I45" s="544">
        <f t="shared" si="35"/>
        <v>0</v>
      </c>
      <c r="J45" s="544">
        <f t="shared" si="35"/>
        <v>0</v>
      </c>
      <c r="K45" s="544">
        <f t="shared" si="35"/>
        <v>0</v>
      </c>
      <c r="L45" s="544">
        <f t="shared" si="35"/>
        <v>0</v>
      </c>
      <c r="M45" s="544">
        <f t="shared" si="35"/>
        <v>0</v>
      </c>
      <c r="N45" s="544">
        <f t="shared" si="35"/>
        <v>0</v>
      </c>
      <c r="O45" s="544">
        <f t="shared" si="35"/>
        <v>0</v>
      </c>
      <c r="P45" s="544">
        <f t="shared" si="35"/>
        <v>0</v>
      </c>
      <c r="Q45" s="544">
        <f t="shared" si="35"/>
        <v>0</v>
      </c>
      <c r="R45" s="544">
        <f t="shared" si="35"/>
        <v>0</v>
      </c>
      <c r="S45" s="544">
        <f t="shared" si="35"/>
        <v>0</v>
      </c>
      <c r="T45" s="544">
        <f t="shared" si="35"/>
        <v>0</v>
      </c>
      <c r="U45" s="544">
        <f t="shared" si="35"/>
        <v>0</v>
      </c>
      <c r="V45" s="544">
        <f t="shared" si="35"/>
        <v>0</v>
      </c>
      <c r="W45" s="544">
        <f t="shared" si="35"/>
        <v>0</v>
      </c>
      <c r="X45" s="544">
        <f t="shared" si="35"/>
        <v>0</v>
      </c>
      <c r="Y45" s="544">
        <f t="shared" si="35"/>
        <v>0</v>
      </c>
      <c r="Z45" s="544">
        <f t="shared" si="35"/>
        <v>0</v>
      </c>
      <c r="AA45" s="544">
        <f t="shared" si="35"/>
        <v>0</v>
      </c>
      <c r="AB45" s="544">
        <f t="shared" si="35"/>
        <v>0</v>
      </c>
      <c r="AC45" s="544">
        <f t="shared" si="35"/>
        <v>0</v>
      </c>
      <c r="AD45" s="544">
        <f t="shared" si="35"/>
        <v>0</v>
      </c>
      <c r="AE45" s="544">
        <f t="shared" si="35"/>
        <v>0</v>
      </c>
      <c r="AF45" s="544">
        <f t="shared" si="35"/>
        <v>0</v>
      </c>
      <c r="AG45" s="544">
        <f t="shared" si="35"/>
        <v>0</v>
      </c>
      <c r="AH45" s="544">
        <f t="shared" si="35"/>
        <v>0</v>
      </c>
      <c r="AI45" s="544">
        <f t="shared" si="35"/>
        <v>0</v>
      </c>
      <c r="AJ45" s="544">
        <f t="shared" si="35"/>
        <v>0</v>
      </c>
      <c r="AK45" s="544">
        <f t="shared" si="35"/>
        <v>0</v>
      </c>
      <c r="AL45" s="544">
        <f t="shared" si="35"/>
        <v>0</v>
      </c>
      <c r="AM45" s="544">
        <f t="shared" si="35"/>
        <v>0</v>
      </c>
      <c r="AN45" s="544">
        <f t="shared" si="35"/>
        <v>0</v>
      </c>
      <c r="AO45" s="544">
        <f t="shared" si="35"/>
        <v>0</v>
      </c>
      <c r="AP45" s="544">
        <f t="shared" si="35"/>
        <v>0</v>
      </c>
      <c r="AQ45" s="544">
        <f t="shared" si="35"/>
        <v>0</v>
      </c>
      <c r="AR45" s="544">
        <f t="shared" si="35"/>
        <v>0</v>
      </c>
      <c r="AS45" s="544">
        <f t="shared" si="35"/>
        <v>0</v>
      </c>
      <c r="AT45" s="544">
        <f t="shared" si="35"/>
        <v>0</v>
      </c>
      <c r="AU45" s="544">
        <f t="shared" si="35"/>
        <v>0</v>
      </c>
      <c r="AV45" s="544">
        <f t="shared" si="35"/>
        <v>0</v>
      </c>
      <c r="AW45" s="544">
        <f t="shared" si="35"/>
        <v>0</v>
      </c>
      <c r="AX45" s="544">
        <f t="shared" si="35"/>
        <v>0</v>
      </c>
      <c r="AY45" s="544">
        <f t="shared" si="35"/>
        <v>0</v>
      </c>
      <c r="AZ45" s="544">
        <f t="shared" si="35"/>
        <v>0</v>
      </c>
      <c r="BA45" s="544">
        <f t="shared" si="35"/>
        <v>0</v>
      </c>
      <c r="BB45" s="544">
        <f t="shared" si="35"/>
        <v>0</v>
      </c>
      <c r="BC45" s="544">
        <f t="shared" si="35"/>
        <v>0</v>
      </c>
      <c r="BF45" s="535">
        <v>1.7218578550335599</v>
      </c>
      <c r="BG45" s="486" t="s">
        <v>349</v>
      </c>
    </row>
    <row r="46" spans="2:68" x14ac:dyDescent="0.35">
      <c r="B46" s="508" t="str">
        <f t="shared" si="33"/>
        <v>Draff 2</v>
      </c>
      <c r="C46" s="543">
        <f t="shared" ref="C46:BC46" si="36">C27*C5</f>
        <v>0</v>
      </c>
      <c r="D46" s="543">
        <f t="shared" si="36"/>
        <v>0</v>
      </c>
      <c r="E46" s="543">
        <f t="shared" si="36"/>
        <v>0</v>
      </c>
      <c r="F46" s="543">
        <f t="shared" si="36"/>
        <v>0</v>
      </c>
      <c r="G46" s="543">
        <f t="shared" si="36"/>
        <v>0</v>
      </c>
      <c r="H46" s="543">
        <f t="shared" si="36"/>
        <v>0</v>
      </c>
      <c r="I46" s="543">
        <f t="shared" si="36"/>
        <v>0</v>
      </c>
      <c r="J46" s="543">
        <f t="shared" si="36"/>
        <v>0</v>
      </c>
      <c r="K46" s="543">
        <f t="shared" si="36"/>
        <v>0</v>
      </c>
      <c r="L46" s="543">
        <f t="shared" si="36"/>
        <v>0</v>
      </c>
      <c r="M46" s="543">
        <f t="shared" si="36"/>
        <v>0</v>
      </c>
      <c r="N46" s="543">
        <f t="shared" si="36"/>
        <v>0</v>
      </c>
      <c r="O46" s="543">
        <f t="shared" si="36"/>
        <v>0</v>
      </c>
      <c r="P46" s="543">
        <f t="shared" si="36"/>
        <v>0</v>
      </c>
      <c r="Q46" s="543">
        <f t="shared" si="36"/>
        <v>0</v>
      </c>
      <c r="R46" s="543">
        <f t="shared" si="36"/>
        <v>0</v>
      </c>
      <c r="S46" s="543">
        <f t="shared" si="36"/>
        <v>0</v>
      </c>
      <c r="T46" s="543">
        <f t="shared" si="36"/>
        <v>0</v>
      </c>
      <c r="U46" s="543">
        <f t="shared" si="36"/>
        <v>0</v>
      </c>
      <c r="V46" s="543">
        <f t="shared" si="36"/>
        <v>0</v>
      </c>
      <c r="W46" s="543">
        <f t="shared" si="36"/>
        <v>0</v>
      </c>
      <c r="X46" s="543">
        <f t="shared" si="36"/>
        <v>0</v>
      </c>
      <c r="Y46" s="543">
        <f t="shared" si="36"/>
        <v>0</v>
      </c>
      <c r="Z46" s="543">
        <f t="shared" si="36"/>
        <v>0</v>
      </c>
      <c r="AA46" s="543">
        <f t="shared" si="36"/>
        <v>0</v>
      </c>
      <c r="AB46" s="543">
        <f t="shared" si="36"/>
        <v>0</v>
      </c>
      <c r="AC46" s="543">
        <f t="shared" si="36"/>
        <v>0</v>
      </c>
      <c r="AD46" s="543">
        <f t="shared" si="36"/>
        <v>0</v>
      </c>
      <c r="AE46" s="543">
        <f t="shared" si="36"/>
        <v>0</v>
      </c>
      <c r="AF46" s="543">
        <f t="shared" si="36"/>
        <v>0</v>
      </c>
      <c r="AG46" s="543">
        <f t="shared" si="36"/>
        <v>0</v>
      </c>
      <c r="AH46" s="543">
        <f t="shared" si="36"/>
        <v>0</v>
      </c>
      <c r="AI46" s="543">
        <f t="shared" si="36"/>
        <v>0</v>
      </c>
      <c r="AJ46" s="543">
        <f t="shared" si="36"/>
        <v>0</v>
      </c>
      <c r="AK46" s="543">
        <f t="shared" si="36"/>
        <v>0</v>
      </c>
      <c r="AL46" s="543">
        <f t="shared" si="36"/>
        <v>0</v>
      </c>
      <c r="AM46" s="543">
        <f t="shared" si="36"/>
        <v>0</v>
      </c>
      <c r="AN46" s="543">
        <f t="shared" si="36"/>
        <v>0</v>
      </c>
      <c r="AO46" s="543">
        <f t="shared" si="36"/>
        <v>0</v>
      </c>
      <c r="AP46" s="543">
        <f t="shared" si="36"/>
        <v>0</v>
      </c>
      <c r="AQ46" s="543">
        <f t="shared" si="36"/>
        <v>0</v>
      </c>
      <c r="AR46" s="543">
        <f t="shared" si="36"/>
        <v>0</v>
      </c>
      <c r="AS46" s="543">
        <f t="shared" si="36"/>
        <v>0</v>
      </c>
      <c r="AT46" s="543">
        <f t="shared" si="36"/>
        <v>0</v>
      </c>
      <c r="AU46" s="543">
        <f t="shared" si="36"/>
        <v>0</v>
      </c>
      <c r="AV46" s="543">
        <f t="shared" si="36"/>
        <v>0</v>
      </c>
      <c r="AW46" s="543">
        <f t="shared" si="36"/>
        <v>0</v>
      </c>
      <c r="AX46" s="543">
        <f t="shared" si="36"/>
        <v>0</v>
      </c>
      <c r="AY46" s="543">
        <f t="shared" si="36"/>
        <v>0</v>
      </c>
      <c r="AZ46" s="543">
        <f t="shared" si="36"/>
        <v>0</v>
      </c>
      <c r="BA46" s="543">
        <f t="shared" si="36"/>
        <v>0</v>
      </c>
      <c r="BB46" s="543">
        <f t="shared" si="36"/>
        <v>0</v>
      </c>
      <c r="BC46" s="543">
        <f t="shared" si="36"/>
        <v>0</v>
      </c>
      <c r="BF46" s="535">
        <v>1.2018578550335599</v>
      </c>
      <c r="BG46" s="486" t="s">
        <v>350</v>
      </c>
    </row>
    <row r="47" spans="2:68" x14ac:dyDescent="0.35">
      <c r="B47" s="508" t="str">
        <f t="shared" si="33"/>
        <v>Draff 3</v>
      </c>
      <c r="C47" s="542">
        <f t="shared" ref="C47:BC47" si="37">C28*C5</f>
        <v>0</v>
      </c>
      <c r="D47" s="542">
        <f t="shared" si="37"/>
        <v>0</v>
      </c>
      <c r="E47" s="542">
        <f t="shared" si="37"/>
        <v>0</v>
      </c>
      <c r="F47" s="542">
        <f t="shared" si="37"/>
        <v>0</v>
      </c>
      <c r="G47" s="542">
        <f t="shared" si="37"/>
        <v>0</v>
      </c>
      <c r="H47" s="542">
        <f t="shared" si="37"/>
        <v>0</v>
      </c>
      <c r="I47" s="542">
        <f t="shared" si="37"/>
        <v>0</v>
      </c>
      <c r="J47" s="542">
        <f t="shared" si="37"/>
        <v>0</v>
      </c>
      <c r="K47" s="542">
        <f t="shared" si="37"/>
        <v>0</v>
      </c>
      <c r="L47" s="542">
        <f t="shared" si="37"/>
        <v>0</v>
      </c>
      <c r="M47" s="542">
        <f t="shared" si="37"/>
        <v>0</v>
      </c>
      <c r="N47" s="542">
        <f t="shared" si="37"/>
        <v>0</v>
      </c>
      <c r="O47" s="542">
        <f t="shared" si="37"/>
        <v>0</v>
      </c>
      <c r="P47" s="542">
        <f t="shared" si="37"/>
        <v>0</v>
      </c>
      <c r="Q47" s="542">
        <f t="shared" si="37"/>
        <v>0</v>
      </c>
      <c r="R47" s="542">
        <f t="shared" si="37"/>
        <v>0</v>
      </c>
      <c r="S47" s="542">
        <f t="shared" si="37"/>
        <v>0</v>
      </c>
      <c r="T47" s="542">
        <f t="shared" si="37"/>
        <v>0</v>
      </c>
      <c r="U47" s="542">
        <f t="shared" si="37"/>
        <v>0</v>
      </c>
      <c r="V47" s="542">
        <f t="shared" si="37"/>
        <v>0</v>
      </c>
      <c r="W47" s="542">
        <f t="shared" si="37"/>
        <v>0</v>
      </c>
      <c r="X47" s="542">
        <f t="shared" si="37"/>
        <v>0</v>
      </c>
      <c r="Y47" s="542">
        <f t="shared" si="37"/>
        <v>0</v>
      </c>
      <c r="Z47" s="542">
        <f t="shared" si="37"/>
        <v>0</v>
      </c>
      <c r="AA47" s="542">
        <f t="shared" si="37"/>
        <v>0</v>
      </c>
      <c r="AB47" s="542">
        <f t="shared" si="37"/>
        <v>0</v>
      </c>
      <c r="AC47" s="542">
        <f t="shared" si="37"/>
        <v>0</v>
      </c>
      <c r="AD47" s="542">
        <f t="shared" si="37"/>
        <v>0</v>
      </c>
      <c r="AE47" s="542">
        <f t="shared" si="37"/>
        <v>0</v>
      </c>
      <c r="AF47" s="542">
        <f t="shared" si="37"/>
        <v>0</v>
      </c>
      <c r="AG47" s="542">
        <f t="shared" si="37"/>
        <v>0</v>
      </c>
      <c r="AH47" s="542">
        <f t="shared" si="37"/>
        <v>0</v>
      </c>
      <c r="AI47" s="542">
        <f t="shared" si="37"/>
        <v>0</v>
      </c>
      <c r="AJ47" s="542">
        <f t="shared" si="37"/>
        <v>0</v>
      </c>
      <c r="AK47" s="542">
        <f t="shared" si="37"/>
        <v>0</v>
      </c>
      <c r="AL47" s="542">
        <f t="shared" si="37"/>
        <v>0</v>
      </c>
      <c r="AM47" s="542">
        <f t="shared" si="37"/>
        <v>0</v>
      </c>
      <c r="AN47" s="542">
        <f t="shared" si="37"/>
        <v>0</v>
      </c>
      <c r="AO47" s="542">
        <f t="shared" si="37"/>
        <v>0</v>
      </c>
      <c r="AP47" s="542">
        <f t="shared" si="37"/>
        <v>0</v>
      </c>
      <c r="AQ47" s="542">
        <f t="shared" si="37"/>
        <v>0</v>
      </c>
      <c r="AR47" s="542">
        <f t="shared" si="37"/>
        <v>0</v>
      </c>
      <c r="AS47" s="542">
        <f t="shared" si="37"/>
        <v>0</v>
      </c>
      <c r="AT47" s="542">
        <f t="shared" si="37"/>
        <v>0</v>
      </c>
      <c r="AU47" s="542">
        <f t="shared" si="37"/>
        <v>0</v>
      </c>
      <c r="AV47" s="542">
        <f t="shared" si="37"/>
        <v>0</v>
      </c>
      <c r="AW47" s="542">
        <f t="shared" si="37"/>
        <v>0</v>
      </c>
      <c r="AX47" s="542">
        <f t="shared" si="37"/>
        <v>0</v>
      </c>
      <c r="AY47" s="542">
        <f t="shared" si="37"/>
        <v>0</v>
      </c>
      <c r="AZ47" s="542">
        <f t="shared" si="37"/>
        <v>0</v>
      </c>
      <c r="BA47" s="542">
        <f t="shared" si="37"/>
        <v>0</v>
      </c>
      <c r="BB47" s="542">
        <f t="shared" si="37"/>
        <v>0</v>
      </c>
      <c r="BC47" s="542">
        <f t="shared" si="37"/>
        <v>0</v>
      </c>
    </row>
    <row r="48" spans="2:68" x14ac:dyDescent="0.35">
      <c r="B48" s="508" t="str">
        <f t="shared" si="33"/>
        <v>Draff 4</v>
      </c>
      <c r="C48" s="543">
        <f t="shared" ref="C48:BC48" si="38">C29*C5</f>
        <v>0</v>
      </c>
      <c r="D48" s="543">
        <f t="shared" si="38"/>
        <v>0</v>
      </c>
      <c r="E48" s="543">
        <f t="shared" si="38"/>
        <v>0</v>
      </c>
      <c r="F48" s="543">
        <f t="shared" si="38"/>
        <v>0</v>
      </c>
      <c r="G48" s="543">
        <f t="shared" si="38"/>
        <v>0</v>
      </c>
      <c r="H48" s="543">
        <f t="shared" si="38"/>
        <v>0</v>
      </c>
      <c r="I48" s="543">
        <f t="shared" si="38"/>
        <v>0</v>
      </c>
      <c r="J48" s="543">
        <f t="shared" si="38"/>
        <v>0</v>
      </c>
      <c r="K48" s="543">
        <f t="shared" si="38"/>
        <v>0</v>
      </c>
      <c r="L48" s="543">
        <f t="shared" si="38"/>
        <v>0</v>
      </c>
      <c r="M48" s="543">
        <f t="shared" si="38"/>
        <v>0</v>
      </c>
      <c r="N48" s="543">
        <f t="shared" si="38"/>
        <v>0</v>
      </c>
      <c r="O48" s="543">
        <f t="shared" si="38"/>
        <v>0</v>
      </c>
      <c r="P48" s="543">
        <f t="shared" si="38"/>
        <v>0</v>
      </c>
      <c r="Q48" s="543">
        <f t="shared" si="38"/>
        <v>0</v>
      </c>
      <c r="R48" s="543">
        <f t="shared" si="38"/>
        <v>0</v>
      </c>
      <c r="S48" s="543">
        <f t="shared" si="38"/>
        <v>0</v>
      </c>
      <c r="T48" s="543">
        <f t="shared" si="38"/>
        <v>0</v>
      </c>
      <c r="U48" s="543">
        <f t="shared" si="38"/>
        <v>0</v>
      </c>
      <c r="V48" s="543">
        <f t="shared" si="38"/>
        <v>0</v>
      </c>
      <c r="W48" s="543">
        <f t="shared" si="38"/>
        <v>0</v>
      </c>
      <c r="X48" s="543">
        <f t="shared" si="38"/>
        <v>0</v>
      </c>
      <c r="Y48" s="543">
        <f t="shared" si="38"/>
        <v>0</v>
      </c>
      <c r="Z48" s="543">
        <f t="shared" si="38"/>
        <v>0</v>
      </c>
      <c r="AA48" s="543">
        <f t="shared" si="38"/>
        <v>0</v>
      </c>
      <c r="AB48" s="543">
        <f t="shared" si="38"/>
        <v>0</v>
      </c>
      <c r="AC48" s="543">
        <f t="shared" si="38"/>
        <v>0</v>
      </c>
      <c r="AD48" s="543">
        <f t="shared" si="38"/>
        <v>0</v>
      </c>
      <c r="AE48" s="543">
        <f t="shared" si="38"/>
        <v>0</v>
      </c>
      <c r="AF48" s="543">
        <f t="shared" si="38"/>
        <v>0</v>
      </c>
      <c r="AG48" s="543">
        <f t="shared" si="38"/>
        <v>0</v>
      </c>
      <c r="AH48" s="543">
        <f t="shared" si="38"/>
        <v>0</v>
      </c>
      <c r="AI48" s="543">
        <f t="shared" si="38"/>
        <v>0</v>
      </c>
      <c r="AJ48" s="543">
        <f t="shared" si="38"/>
        <v>0</v>
      </c>
      <c r="AK48" s="543">
        <f t="shared" si="38"/>
        <v>0</v>
      </c>
      <c r="AL48" s="543">
        <f t="shared" si="38"/>
        <v>0</v>
      </c>
      <c r="AM48" s="543">
        <f t="shared" si="38"/>
        <v>0</v>
      </c>
      <c r="AN48" s="543">
        <f t="shared" si="38"/>
        <v>0</v>
      </c>
      <c r="AO48" s="543">
        <f t="shared" si="38"/>
        <v>0</v>
      </c>
      <c r="AP48" s="543">
        <f t="shared" si="38"/>
        <v>0</v>
      </c>
      <c r="AQ48" s="543">
        <f t="shared" si="38"/>
        <v>0</v>
      </c>
      <c r="AR48" s="543">
        <f t="shared" si="38"/>
        <v>0</v>
      </c>
      <c r="AS48" s="543">
        <f t="shared" si="38"/>
        <v>0</v>
      </c>
      <c r="AT48" s="543">
        <f t="shared" si="38"/>
        <v>0</v>
      </c>
      <c r="AU48" s="543">
        <f t="shared" si="38"/>
        <v>0</v>
      </c>
      <c r="AV48" s="543">
        <f t="shared" si="38"/>
        <v>0</v>
      </c>
      <c r="AW48" s="543">
        <f t="shared" si="38"/>
        <v>0</v>
      </c>
      <c r="AX48" s="543">
        <f t="shared" si="38"/>
        <v>0</v>
      </c>
      <c r="AY48" s="543">
        <f t="shared" si="38"/>
        <v>0</v>
      </c>
      <c r="AZ48" s="543">
        <f t="shared" si="38"/>
        <v>0</v>
      </c>
      <c r="BA48" s="543">
        <f t="shared" si="38"/>
        <v>0</v>
      </c>
      <c r="BB48" s="543">
        <f t="shared" si="38"/>
        <v>0</v>
      </c>
      <c r="BC48" s="543">
        <f t="shared" si="38"/>
        <v>0</v>
      </c>
    </row>
    <row r="49" spans="2:55" x14ac:dyDescent="0.35">
      <c r="B49" s="508" t="str">
        <f t="shared" si="33"/>
        <v>Pot Ale Syrup</v>
      </c>
      <c r="C49" s="547">
        <f t="shared" ref="C49:BC49" si="39">C30*C5</f>
        <v>0</v>
      </c>
      <c r="D49" s="547">
        <f t="shared" si="39"/>
        <v>0</v>
      </c>
      <c r="E49" s="547">
        <f t="shared" si="39"/>
        <v>0</v>
      </c>
      <c r="F49" s="547">
        <f t="shared" si="39"/>
        <v>0</v>
      </c>
      <c r="G49" s="547">
        <f t="shared" si="39"/>
        <v>0</v>
      </c>
      <c r="H49" s="547">
        <f t="shared" si="39"/>
        <v>0</v>
      </c>
      <c r="I49" s="547">
        <f t="shared" si="39"/>
        <v>0</v>
      </c>
      <c r="J49" s="547">
        <f t="shared" si="39"/>
        <v>0</v>
      </c>
      <c r="K49" s="547">
        <f t="shared" si="39"/>
        <v>0</v>
      </c>
      <c r="L49" s="547">
        <f t="shared" si="39"/>
        <v>0</v>
      </c>
      <c r="M49" s="547">
        <f t="shared" si="39"/>
        <v>0</v>
      </c>
      <c r="N49" s="547">
        <f t="shared" si="39"/>
        <v>0</v>
      </c>
      <c r="O49" s="547">
        <f t="shared" si="39"/>
        <v>0</v>
      </c>
      <c r="P49" s="547">
        <f t="shared" si="39"/>
        <v>0</v>
      </c>
      <c r="Q49" s="547">
        <f t="shared" si="39"/>
        <v>0</v>
      </c>
      <c r="R49" s="547">
        <f t="shared" si="39"/>
        <v>0</v>
      </c>
      <c r="S49" s="547">
        <f t="shared" si="39"/>
        <v>0</v>
      </c>
      <c r="T49" s="547">
        <f t="shared" si="39"/>
        <v>0</v>
      </c>
      <c r="U49" s="547">
        <f t="shared" si="39"/>
        <v>0</v>
      </c>
      <c r="V49" s="547">
        <f t="shared" si="39"/>
        <v>0</v>
      </c>
      <c r="W49" s="547">
        <f t="shared" si="39"/>
        <v>0</v>
      </c>
      <c r="X49" s="547">
        <f t="shared" si="39"/>
        <v>0</v>
      </c>
      <c r="Y49" s="547">
        <f t="shared" si="39"/>
        <v>0</v>
      </c>
      <c r="Z49" s="547">
        <f t="shared" si="39"/>
        <v>0</v>
      </c>
      <c r="AA49" s="547">
        <f t="shared" si="39"/>
        <v>0</v>
      </c>
      <c r="AB49" s="547">
        <f t="shared" si="39"/>
        <v>0</v>
      </c>
      <c r="AC49" s="547">
        <f t="shared" si="39"/>
        <v>0</v>
      </c>
      <c r="AD49" s="547">
        <f t="shared" si="39"/>
        <v>0</v>
      </c>
      <c r="AE49" s="547">
        <f t="shared" si="39"/>
        <v>0</v>
      </c>
      <c r="AF49" s="547">
        <f t="shared" si="39"/>
        <v>0</v>
      </c>
      <c r="AG49" s="547">
        <f t="shared" si="39"/>
        <v>0</v>
      </c>
      <c r="AH49" s="547">
        <f t="shared" si="39"/>
        <v>0</v>
      </c>
      <c r="AI49" s="547">
        <f t="shared" si="39"/>
        <v>0</v>
      </c>
      <c r="AJ49" s="547">
        <f t="shared" si="39"/>
        <v>0</v>
      </c>
      <c r="AK49" s="547">
        <f t="shared" si="39"/>
        <v>0</v>
      </c>
      <c r="AL49" s="547">
        <f t="shared" si="39"/>
        <v>0</v>
      </c>
      <c r="AM49" s="547">
        <f t="shared" si="39"/>
        <v>0</v>
      </c>
      <c r="AN49" s="547">
        <f t="shared" si="39"/>
        <v>0</v>
      </c>
      <c r="AO49" s="547">
        <f t="shared" si="39"/>
        <v>0</v>
      </c>
      <c r="AP49" s="547">
        <f t="shared" si="39"/>
        <v>0</v>
      </c>
      <c r="AQ49" s="547">
        <f t="shared" si="39"/>
        <v>0</v>
      </c>
      <c r="AR49" s="547">
        <f t="shared" si="39"/>
        <v>0</v>
      </c>
      <c r="AS49" s="547">
        <f t="shared" si="39"/>
        <v>0</v>
      </c>
      <c r="AT49" s="547">
        <f t="shared" si="39"/>
        <v>0</v>
      </c>
      <c r="AU49" s="547">
        <f t="shared" si="39"/>
        <v>0</v>
      </c>
      <c r="AV49" s="547">
        <f t="shared" si="39"/>
        <v>0</v>
      </c>
      <c r="AW49" s="547">
        <f t="shared" si="39"/>
        <v>0</v>
      </c>
      <c r="AX49" s="547">
        <f t="shared" si="39"/>
        <v>0</v>
      </c>
      <c r="AY49" s="547">
        <f t="shared" si="39"/>
        <v>0</v>
      </c>
      <c r="AZ49" s="547">
        <f t="shared" si="39"/>
        <v>0</v>
      </c>
      <c r="BA49" s="547">
        <f t="shared" si="39"/>
        <v>0</v>
      </c>
      <c r="BB49" s="547">
        <f t="shared" si="39"/>
        <v>0</v>
      </c>
      <c r="BC49" s="547">
        <f t="shared" si="39"/>
        <v>0</v>
      </c>
    </row>
    <row r="52" spans="2:55" x14ac:dyDescent="0.35">
      <c r="B52" s="534" t="s">
        <v>353</v>
      </c>
    </row>
    <row r="53" spans="2:55" x14ac:dyDescent="0.35">
      <c r="B53" s="507" t="s">
        <v>721</v>
      </c>
      <c r="L53" s="541"/>
    </row>
    <row r="54" spans="2:55" x14ac:dyDescent="0.35">
      <c r="B54" s="508" t="str">
        <f>B6</f>
        <v>Rye Silage</v>
      </c>
      <c r="C54" s="542">
        <f t="shared" ref="C54:AH54" si="40">C34*$BF$42</f>
        <v>52.61319008590614</v>
      </c>
      <c r="D54" s="542">
        <f t="shared" si="40"/>
        <v>105.22638017181228</v>
      </c>
      <c r="E54" s="542">
        <f t="shared" si="40"/>
        <v>157.83957025771844</v>
      </c>
      <c r="F54" s="542">
        <f t="shared" si="40"/>
        <v>210.45276034362456</v>
      </c>
      <c r="G54" s="542">
        <f t="shared" si="40"/>
        <v>263.06595042953069</v>
      </c>
      <c r="H54" s="542">
        <f t="shared" si="40"/>
        <v>315.67914051543687</v>
      </c>
      <c r="I54" s="542">
        <f t="shared" si="40"/>
        <v>368.29233060134294</v>
      </c>
      <c r="J54" s="542">
        <f t="shared" si="40"/>
        <v>420.90552068724912</v>
      </c>
      <c r="K54" s="542">
        <f t="shared" si="40"/>
        <v>473.51871077315525</v>
      </c>
      <c r="L54" s="542">
        <f t="shared" si="40"/>
        <v>526.13190085906137</v>
      </c>
      <c r="M54" s="542">
        <f t="shared" si="40"/>
        <v>0</v>
      </c>
      <c r="N54" s="542">
        <f t="shared" si="40"/>
        <v>0</v>
      </c>
      <c r="O54" s="542">
        <f t="shared" si="40"/>
        <v>0</v>
      </c>
      <c r="P54" s="542">
        <f t="shared" si="40"/>
        <v>0</v>
      </c>
      <c r="Q54" s="542">
        <f t="shared" si="40"/>
        <v>0</v>
      </c>
      <c r="R54" s="542">
        <f t="shared" si="40"/>
        <v>0</v>
      </c>
      <c r="S54" s="542">
        <f t="shared" si="40"/>
        <v>0</v>
      </c>
      <c r="T54" s="542">
        <f t="shared" si="40"/>
        <v>0</v>
      </c>
      <c r="U54" s="542">
        <f t="shared" si="40"/>
        <v>0</v>
      </c>
      <c r="V54" s="542">
        <f t="shared" si="40"/>
        <v>0</v>
      </c>
      <c r="W54" s="542">
        <f t="shared" si="40"/>
        <v>0</v>
      </c>
      <c r="X54" s="542">
        <f t="shared" si="40"/>
        <v>0</v>
      </c>
      <c r="Y54" s="542">
        <f t="shared" si="40"/>
        <v>0</v>
      </c>
      <c r="Z54" s="542">
        <f t="shared" si="40"/>
        <v>0</v>
      </c>
      <c r="AA54" s="542">
        <f t="shared" si="40"/>
        <v>0</v>
      </c>
      <c r="AB54" s="542">
        <f t="shared" si="40"/>
        <v>0</v>
      </c>
      <c r="AC54" s="542">
        <f t="shared" si="40"/>
        <v>0</v>
      </c>
      <c r="AD54" s="542">
        <f t="shared" si="40"/>
        <v>0</v>
      </c>
      <c r="AE54" s="542">
        <f t="shared" si="40"/>
        <v>0</v>
      </c>
      <c r="AF54" s="542">
        <f t="shared" si="40"/>
        <v>0</v>
      </c>
      <c r="AG54" s="542">
        <f t="shared" si="40"/>
        <v>0</v>
      </c>
      <c r="AH54" s="542">
        <f t="shared" si="40"/>
        <v>0</v>
      </c>
      <c r="AI54" s="542">
        <f t="shared" ref="AI54:BC54" si="41">AI34*$BF$42</f>
        <v>0</v>
      </c>
      <c r="AJ54" s="542">
        <f t="shared" si="41"/>
        <v>0</v>
      </c>
      <c r="AK54" s="542">
        <f t="shared" si="41"/>
        <v>0</v>
      </c>
      <c r="AL54" s="542">
        <f t="shared" si="41"/>
        <v>0</v>
      </c>
      <c r="AM54" s="542">
        <f t="shared" si="41"/>
        <v>0</v>
      </c>
      <c r="AN54" s="542">
        <f t="shared" si="41"/>
        <v>0</v>
      </c>
      <c r="AO54" s="542">
        <f t="shared" si="41"/>
        <v>0</v>
      </c>
      <c r="AP54" s="542">
        <f t="shared" si="41"/>
        <v>0</v>
      </c>
      <c r="AQ54" s="542">
        <f t="shared" si="41"/>
        <v>0</v>
      </c>
      <c r="AR54" s="542">
        <f t="shared" si="41"/>
        <v>0</v>
      </c>
      <c r="AS54" s="542">
        <f t="shared" si="41"/>
        <v>0</v>
      </c>
      <c r="AT54" s="542">
        <f t="shared" si="41"/>
        <v>0</v>
      </c>
      <c r="AU54" s="542">
        <f t="shared" si="41"/>
        <v>0</v>
      </c>
      <c r="AV54" s="542">
        <f t="shared" si="41"/>
        <v>0</v>
      </c>
      <c r="AW54" s="542">
        <f t="shared" si="41"/>
        <v>0</v>
      </c>
      <c r="AX54" s="542">
        <f t="shared" si="41"/>
        <v>0</v>
      </c>
      <c r="AY54" s="542">
        <f t="shared" si="41"/>
        <v>0</v>
      </c>
      <c r="AZ54" s="542">
        <f t="shared" si="41"/>
        <v>0</v>
      </c>
      <c r="BA54" s="542">
        <f t="shared" si="41"/>
        <v>0</v>
      </c>
      <c r="BB54" s="542">
        <f t="shared" si="41"/>
        <v>0</v>
      </c>
      <c r="BC54" s="542">
        <f t="shared" si="41"/>
        <v>0</v>
      </c>
    </row>
    <row r="55" spans="2:55" x14ac:dyDescent="0.35">
      <c r="B55" s="508" t="str">
        <f t="shared" ref="B55:B60" si="42">B7</f>
        <v>Straw</v>
      </c>
      <c r="C55" s="543">
        <f t="shared" ref="C55:AH55" si="43">C35*$BF$42</f>
        <v>35.131491143624231</v>
      </c>
      <c r="D55" s="543">
        <f t="shared" si="43"/>
        <v>70.262982287248462</v>
      </c>
      <c r="E55" s="543">
        <f t="shared" si="43"/>
        <v>105.39447343087268</v>
      </c>
      <c r="F55" s="543">
        <f t="shared" si="43"/>
        <v>140.52596457449692</v>
      </c>
      <c r="G55" s="543">
        <f t="shared" si="43"/>
        <v>175.65745571812116</v>
      </c>
      <c r="H55" s="543">
        <f t="shared" si="43"/>
        <v>210.78894686174536</v>
      </c>
      <c r="I55" s="543">
        <f t="shared" si="43"/>
        <v>245.92043800536962</v>
      </c>
      <c r="J55" s="543">
        <f t="shared" si="43"/>
        <v>281.05192914899385</v>
      </c>
      <c r="K55" s="543">
        <f t="shared" si="43"/>
        <v>316.18342029261805</v>
      </c>
      <c r="L55" s="543">
        <f t="shared" si="43"/>
        <v>351.31491143624231</v>
      </c>
      <c r="M55" s="543">
        <f t="shared" si="43"/>
        <v>0</v>
      </c>
      <c r="N55" s="543">
        <f t="shared" si="43"/>
        <v>0</v>
      </c>
      <c r="O55" s="543">
        <f t="shared" si="43"/>
        <v>0</v>
      </c>
      <c r="P55" s="543">
        <f t="shared" si="43"/>
        <v>0</v>
      </c>
      <c r="Q55" s="543">
        <f t="shared" si="43"/>
        <v>0</v>
      </c>
      <c r="R55" s="543">
        <f t="shared" si="43"/>
        <v>0</v>
      </c>
      <c r="S55" s="543">
        <f t="shared" si="43"/>
        <v>0</v>
      </c>
      <c r="T55" s="543">
        <f t="shared" si="43"/>
        <v>0</v>
      </c>
      <c r="U55" s="543">
        <f t="shared" si="43"/>
        <v>0</v>
      </c>
      <c r="V55" s="543">
        <f t="shared" si="43"/>
        <v>0</v>
      </c>
      <c r="W55" s="543">
        <f t="shared" si="43"/>
        <v>0</v>
      </c>
      <c r="X55" s="543">
        <f t="shared" si="43"/>
        <v>0</v>
      </c>
      <c r="Y55" s="543">
        <f t="shared" si="43"/>
        <v>0</v>
      </c>
      <c r="Z55" s="543">
        <f t="shared" si="43"/>
        <v>0</v>
      </c>
      <c r="AA55" s="543">
        <f t="shared" si="43"/>
        <v>0</v>
      </c>
      <c r="AB55" s="543">
        <f t="shared" si="43"/>
        <v>0</v>
      </c>
      <c r="AC55" s="543">
        <f t="shared" si="43"/>
        <v>0</v>
      </c>
      <c r="AD55" s="543">
        <f t="shared" si="43"/>
        <v>0</v>
      </c>
      <c r="AE55" s="543">
        <f t="shared" si="43"/>
        <v>0</v>
      </c>
      <c r="AF55" s="543">
        <f t="shared" si="43"/>
        <v>0</v>
      </c>
      <c r="AG55" s="543">
        <f t="shared" si="43"/>
        <v>0</v>
      </c>
      <c r="AH55" s="543">
        <f t="shared" si="43"/>
        <v>0</v>
      </c>
      <c r="AI55" s="543">
        <f t="shared" ref="AI55:BC55" si="44">AI35*$BF$42</f>
        <v>0</v>
      </c>
      <c r="AJ55" s="543">
        <f t="shared" si="44"/>
        <v>0</v>
      </c>
      <c r="AK55" s="543">
        <f t="shared" si="44"/>
        <v>0</v>
      </c>
      <c r="AL55" s="543">
        <f t="shared" si="44"/>
        <v>0</v>
      </c>
      <c r="AM55" s="543">
        <f t="shared" si="44"/>
        <v>0</v>
      </c>
      <c r="AN55" s="543">
        <f t="shared" si="44"/>
        <v>0</v>
      </c>
      <c r="AO55" s="543">
        <f t="shared" si="44"/>
        <v>0</v>
      </c>
      <c r="AP55" s="543">
        <f t="shared" si="44"/>
        <v>0</v>
      </c>
      <c r="AQ55" s="543">
        <f t="shared" si="44"/>
        <v>0</v>
      </c>
      <c r="AR55" s="543">
        <f t="shared" si="44"/>
        <v>0</v>
      </c>
      <c r="AS55" s="543">
        <f t="shared" si="44"/>
        <v>0</v>
      </c>
      <c r="AT55" s="543">
        <f t="shared" si="44"/>
        <v>0</v>
      </c>
      <c r="AU55" s="543">
        <f t="shared" si="44"/>
        <v>0</v>
      </c>
      <c r="AV55" s="543">
        <f t="shared" si="44"/>
        <v>0</v>
      </c>
      <c r="AW55" s="543">
        <f t="shared" si="44"/>
        <v>0</v>
      </c>
      <c r="AX55" s="543">
        <f t="shared" si="44"/>
        <v>0</v>
      </c>
      <c r="AY55" s="543">
        <f t="shared" si="44"/>
        <v>0</v>
      </c>
      <c r="AZ55" s="543">
        <f t="shared" si="44"/>
        <v>0</v>
      </c>
      <c r="BA55" s="543">
        <f t="shared" si="44"/>
        <v>0</v>
      </c>
      <c r="BB55" s="543">
        <f t="shared" si="44"/>
        <v>0</v>
      </c>
      <c r="BC55" s="543">
        <f t="shared" si="44"/>
        <v>0</v>
      </c>
    </row>
    <row r="56" spans="2:55" x14ac:dyDescent="0.35">
      <c r="B56" s="508" t="str">
        <f t="shared" si="42"/>
        <v>Draff 1</v>
      </c>
      <c r="C56" s="542">
        <f t="shared" ref="C56:AH56" si="45">C36*$BF$42</f>
        <v>1680.9325906040299</v>
      </c>
      <c r="D56" s="542">
        <f t="shared" si="45"/>
        <v>0</v>
      </c>
      <c r="E56" s="542">
        <f t="shared" si="45"/>
        <v>0</v>
      </c>
      <c r="F56" s="542">
        <f t="shared" si="45"/>
        <v>0</v>
      </c>
      <c r="G56" s="542">
        <f t="shared" si="45"/>
        <v>0</v>
      </c>
      <c r="H56" s="542">
        <f t="shared" si="45"/>
        <v>0</v>
      </c>
      <c r="I56" s="542">
        <f t="shared" si="45"/>
        <v>0</v>
      </c>
      <c r="J56" s="542">
        <f t="shared" si="45"/>
        <v>0</v>
      </c>
      <c r="K56" s="542">
        <f t="shared" si="45"/>
        <v>0</v>
      </c>
      <c r="L56" s="542">
        <f t="shared" si="45"/>
        <v>0</v>
      </c>
      <c r="M56" s="542">
        <f t="shared" si="45"/>
        <v>0</v>
      </c>
      <c r="N56" s="542">
        <f t="shared" si="45"/>
        <v>0</v>
      </c>
      <c r="O56" s="542">
        <f t="shared" si="45"/>
        <v>0</v>
      </c>
      <c r="P56" s="542">
        <f t="shared" si="45"/>
        <v>0</v>
      </c>
      <c r="Q56" s="542">
        <f t="shared" si="45"/>
        <v>0</v>
      </c>
      <c r="R56" s="542">
        <f t="shared" si="45"/>
        <v>0</v>
      </c>
      <c r="S56" s="542">
        <f t="shared" si="45"/>
        <v>0</v>
      </c>
      <c r="T56" s="542">
        <f t="shared" si="45"/>
        <v>0</v>
      </c>
      <c r="U56" s="542">
        <f t="shared" si="45"/>
        <v>0</v>
      </c>
      <c r="V56" s="542">
        <f t="shared" si="45"/>
        <v>0</v>
      </c>
      <c r="W56" s="542">
        <f t="shared" si="45"/>
        <v>0</v>
      </c>
      <c r="X56" s="542">
        <f t="shared" si="45"/>
        <v>0</v>
      </c>
      <c r="Y56" s="542">
        <f t="shared" si="45"/>
        <v>0</v>
      </c>
      <c r="Z56" s="542">
        <f t="shared" si="45"/>
        <v>0</v>
      </c>
      <c r="AA56" s="542">
        <f t="shared" si="45"/>
        <v>0</v>
      </c>
      <c r="AB56" s="542">
        <f t="shared" si="45"/>
        <v>0</v>
      </c>
      <c r="AC56" s="542">
        <f t="shared" si="45"/>
        <v>0</v>
      </c>
      <c r="AD56" s="542">
        <f t="shared" si="45"/>
        <v>0</v>
      </c>
      <c r="AE56" s="542">
        <f t="shared" si="45"/>
        <v>0</v>
      </c>
      <c r="AF56" s="542">
        <f t="shared" si="45"/>
        <v>0</v>
      </c>
      <c r="AG56" s="542">
        <f t="shared" si="45"/>
        <v>0</v>
      </c>
      <c r="AH56" s="542">
        <f t="shared" si="45"/>
        <v>0</v>
      </c>
      <c r="AI56" s="542">
        <f t="shared" ref="AI56:BC56" si="46">AI36*$BF$42</f>
        <v>0</v>
      </c>
      <c r="AJ56" s="542">
        <f t="shared" si="46"/>
        <v>0</v>
      </c>
      <c r="AK56" s="542">
        <f t="shared" si="46"/>
        <v>0</v>
      </c>
      <c r="AL56" s="542">
        <f t="shared" si="46"/>
        <v>0</v>
      </c>
      <c r="AM56" s="542">
        <f t="shared" si="46"/>
        <v>0</v>
      </c>
      <c r="AN56" s="542">
        <f t="shared" si="46"/>
        <v>0</v>
      </c>
      <c r="AO56" s="542">
        <f t="shared" si="46"/>
        <v>0</v>
      </c>
      <c r="AP56" s="542">
        <f t="shared" si="46"/>
        <v>0</v>
      </c>
      <c r="AQ56" s="542">
        <f t="shared" si="46"/>
        <v>0</v>
      </c>
      <c r="AR56" s="542">
        <f t="shared" si="46"/>
        <v>0</v>
      </c>
      <c r="AS56" s="542">
        <f t="shared" si="46"/>
        <v>0</v>
      </c>
      <c r="AT56" s="542">
        <f t="shared" si="46"/>
        <v>0</v>
      </c>
      <c r="AU56" s="542">
        <f t="shared" si="46"/>
        <v>0</v>
      </c>
      <c r="AV56" s="542">
        <f t="shared" si="46"/>
        <v>0</v>
      </c>
      <c r="AW56" s="542">
        <f t="shared" si="46"/>
        <v>0</v>
      </c>
      <c r="AX56" s="542">
        <f t="shared" si="46"/>
        <v>0</v>
      </c>
      <c r="AY56" s="542">
        <f t="shared" si="46"/>
        <v>0</v>
      </c>
      <c r="AZ56" s="542">
        <f t="shared" si="46"/>
        <v>0</v>
      </c>
      <c r="BA56" s="542">
        <f t="shared" si="46"/>
        <v>0</v>
      </c>
      <c r="BB56" s="542">
        <f t="shared" si="46"/>
        <v>0</v>
      </c>
      <c r="BC56" s="542">
        <f t="shared" si="46"/>
        <v>0</v>
      </c>
    </row>
    <row r="57" spans="2:55" x14ac:dyDescent="0.35">
      <c r="B57" s="508" t="str">
        <f t="shared" si="42"/>
        <v>Draff 2</v>
      </c>
      <c r="C57" s="543">
        <f t="shared" ref="C57:AH57" si="47">C37*$BF$42</f>
        <v>0</v>
      </c>
      <c r="D57" s="543">
        <f t="shared" si="47"/>
        <v>0</v>
      </c>
      <c r="E57" s="543">
        <f t="shared" si="47"/>
        <v>0</v>
      </c>
      <c r="F57" s="543">
        <f t="shared" si="47"/>
        <v>0</v>
      </c>
      <c r="G57" s="543">
        <f t="shared" si="47"/>
        <v>0</v>
      </c>
      <c r="H57" s="543">
        <f t="shared" si="47"/>
        <v>3650.9855867919532</v>
      </c>
      <c r="I57" s="543">
        <f t="shared" si="47"/>
        <v>0</v>
      </c>
      <c r="J57" s="543">
        <f t="shared" si="47"/>
        <v>0</v>
      </c>
      <c r="K57" s="543">
        <f t="shared" si="47"/>
        <v>0</v>
      </c>
      <c r="L57" s="543">
        <f t="shared" si="47"/>
        <v>0</v>
      </c>
      <c r="M57" s="543">
        <f t="shared" si="47"/>
        <v>0</v>
      </c>
      <c r="N57" s="543">
        <f t="shared" si="47"/>
        <v>0</v>
      </c>
      <c r="O57" s="543">
        <f t="shared" si="47"/>
        <v>0</v>
      </c>
      <c r="P57" s="543">
        <f t="shared" si="47"/>
        <v>0</v>
      </c>
      <c r="Q57" s="543">
        <f t="shared" si="47"/>
        <v>0</v>
      </c>
      <c r="R57" s="543">
        <f t="shared" si="47"/>
        <v>0</v>
      </c>
      <c r="S57" s="543">
        <f t="shared" si="47"/>
        <v>0</v>
      </c>
      <c r="T57" s="543">
        <f t="shared" si="47"/>
        <v>0</v>
      </c>
      <c r="U57" s="543">
        <f t="shared" si="47"/>
        <v>0</v>
      </c>
      <c r="V57" s="543">
        <f t="shared" si="47"/>
        <v>0</v>
      </c>
      <c r="W57" s="543">
        <f t="shared" si="47"/>
        <v>0</v>
      </c>
      <c r="X57" s="543">
        <f t="shared" si="47"/>
        <v>0</v>
      </c>
      <c r="Y57" s="543">
        <f t="shared" si="47"/>
        <v>0</v>
      </c>
      <c r="Z57" s="543">
        <f t="shared" si="47"/>
        <v>0</v>
      </c>
      <c r="AA57" s="543">
        <f t="shared" si="47"/>
        <v>0</v>
      </c>
      <c r="AB57" s="543">
        <f t="shared" si="47"/>
        <v>0</v>
      </c>
      <c r="AC57" s="543">
        <f t="shared" si="47"/>
        <v>0</v>
      </c>
      <c r="AD57" s="543">
        <f t="shared" si="47"/>
        <v>0</v>
      </c>
      <c r="AE57" s="543">
        <f t="shared" si="47"/>
        <v>0</v>
      </c>
      <c r="AF57" s="543">
        <f t="shared" si="47"/>
        <v>0</v>
      </c>
      <c r="AG57" s="543">
        <f t="shared" si="47"/>
        <v>0</v>
      </c>
      <c r="AH57" s="543">
        <f t="shared" si="47"/>
        <v>0</v>
      </c>
      <c r="AI57" s="543">
        <f t="shared" ref="AI57:BC57" si="48">AI37*$BF$42</f>
        <v>0</v>
      </c>
      <c r="AJ57" s="543">
        <f t="shared" si="48"/>
        <v>0</v>
      </c>
      <c r="AK57" s="543">
        <f t="shared" si="48"/>
        <v>0</v>
      </c>
      <c r="AL57" s="543">
        <f t="shared" si="48"/>
        <v>0</v>
      </c>
      <c r="AM57" s="543">
        <f t="shared" si="48"/>
        <v>0</v>
      </c>
      <c r="AN57" s="543">
        <f t="shared" si="48"/>
        <v>0</v>
      </c>
      <c r="AO57" s="543">
        <f t="shared" si="48"/>
        <v>0</v>
      </c>
      <c r="AP57" s="543">
        <f t="shared" si="48"/>
        <v>0</v>
      </c>
      <c r="AQ57" s="543">
        <f t="shared" si="48"/>
        <v>0</v>
      </c>
      <c r="AR57" s="543">
        <f t="shared" si="48"/>
        <v>0</v>
      </c>
      <c r="AS57" s="543">
        <f t="shared" si="48"/>
        <v>0</v>
      </c>
      <c r="AT57" s="543">
        <f t="shared" si="48"/>
        <v>0</v>
      </c>
      <c r="AU57" s="543">
        <f t="shared" si="48"/>
        <v>0</v>
      </c>
      <c r="AV57" s="543">
        <f t="shared" si="48"/>
        <v>0</v>
      </c>
      <c r="AW57" s="543">
        <f t="shared" si="48"/>
        <v>0</v>
      </c>
      <c r="AX57" s="543">
        <f t="shared" si="48"/>
        <v>0</v>
      </c>
      <c r="AY57" s="543">
        <f t="shared" si="48"/>
        <v>0</v>
      </c>
      <c r="AZ57" s="543">
        <f t="shared" si="48"/>
        <v>0</v>
      </c>
      <c r="BA57" s="543">
        <f t="shared" si="48"/>
        <v>0</v>
      </c>
      <c r="BB57" s="543">
        <f t="shared" si="48"/>
        <v>0</v>
      </c>
      <c r="BC57" s="543">
        <f t="shared" si="48"/>
        <v>0</v>
      </c>
    </row>
    <row r="58" spans="2:55" x14ac:dyDescent="0.35">
      <c r="B58" s="508" t="str">
        <f t="shared" si="42"/>
        <v>Draff 3</v>
      </c>
      <c r="C58" s="542">
        <f t="shared" ref="C58:AH58" si="49">C38*$BF$42</f>
        <v>0</v>
      </c>
      <c r="D58" s="542">
        <f t="shared" si="49"/>
        <v>0</v>
      </c>
      <c r="E58" s="542">
        <f t="shared" si="49"/>
        <v>0</v>
      </c>
      <c r="F58" s="542">
        <f t="shared" si="49"/>
        <v>0</v>
      </c>
      <c r="G58" s="542">
        <f t="shared" si="49"/>
        <v>0</v>
      </c>
      <c r="H58" s="542">
        <f t="shared" si="49"/>
        <v>0</v>
      </c>
      <c r="I58" s="542">
        <f t="shared" si="49"/>
        <v>0</v>
      </c>
      <c r="J58" s="542">
        <f t="shared" si="49"/>
        <v>0</v>
      </c>
      <c r="K58" s="542">
        <f t="shared" si="49"/>
        <v>0</v>
      </c>
      <c r="L58" s="542">
        <f t="shared" si="49"/>
        <v>0</v>
      </c>
      <c r="M58" s="542">
        <f t="shared" si="49"/>
        <v>6693.4735757852477</v>
      </c>
      <c r="N58" s="542">
        <f t="shared" si="49"/>
        <v>0</v>
      </c>
      <c r="O58" s="542">
        <f t="shared" si="49"/>
        <v>0</v>
      </c>
      <c r="P58" s="542">
        <f t="shared" si="49"/>
        <v>0</v>
      </c>
      <c r="Q58" s="542">
        <f t="shared" si="49"/>
        <v>0</v>
      </c>
      <c r="R58" s="542">
        <f t="shared" si="49"/>
        <v>0</v>
      </c>
      <c r="S58" s="542">
        <f t="shared" si="49"/>
        <v>0</v>
      </c>
      <c r="T58" s="542">
        <f t="shared" si="49"/>
        <v>0</v>
      </c>
      <c r="U58" s="542">
        <f t="shared" si="49"/>
        <v>0</v>
      </c>
      <c r="V58" s="542">
        <f t="shared" si="49"/>
        <v>0</v>
      </c>
      <c r="W58" s="542">
        <f t="shared" si="49"/>
        <v>0</v>
      </c>
      <c r="X58" s="542">
        <f t="shared" si="49"/>
        <v>0</v>
      </c>
      <c r="Y58" s="542">
        <f t="shared" si="49"/>
        <v>0</v>
      </c>
      <c r="Z58" s="542">
        <f t="shared" si="49"/>
        <v>0</v>
      </c>
      <c r="AA58" s="542">
        <f t="shared" si="49"/>
        <v>0</v>
      </c>
      <c r="AB58" s="542">
        <f t="shared" si="49"/>
        <v>0</v>
      </c>
      <c r="AC58" s="542">
        <f t="shared" si="49"/>
        <v>0</v>
      </c>
      <c r="AD58" s="542">
        <f t="shared" si="49"/>
        <v>0</v>
      </c>
      <c r="AE58" s="542">
        <f t="shared" si="49"/>
        <v>0</v>
      </c>
      <c r="AF58" s="542">
        <f t="shared" si="49"/>
        <v>0</v>
      </c>
      <c r="AG58" s="542">
        <f t="shared" si="49"/>
        <v>0</v>
      </c>
      <c r="AH58" s="542">
        <f t="shared" si="49"/>
        <v>0</v>
      </c>
      <c r="AI58" s="542">
        <f t="shared" ref="AI58:BC58" si="50">AI38*$BF$42</f>
        <v>0</v>
      </c>
      <c r="AJ58" s="542">
        <f t="shared" si="50"/>
        <v>0</v>
      </c>
      <c r="AK58" s="542">
        <f t="shared" si="50"/>
        <v>0</v>
      </c>
      <c r="AL58" s="542">
        <f t="shared" si="50"/>
        <v>0</v>
      </c>
      <c r="AM58" s="542">
        <f t="shared" si="50"/>
        <v>0</v>
      </c>
      <c r="AN58" s="542">
        <f t="shared" si="50"/>
        <v>0</v>
      </c>
      <c r="AO58" s="542">
        <f t="shared" si="50"/>
        <v>0</v>
      </c>
      <c r="AP58" s="542">
        <f t="shared" si="50"/>
        <v>0</v>
      </c>
      <c r="AQ58" s="542">
        <f t="shared" si="50"/>
        <v>0</v>
      </c>
      <c r="AR58" s="542">
        <f t="shared" si="50"/>
        <v>0</v>
      </c>
      <c r="AS58" s="542">
        <f t="shared" si="50"/>
        <v>0</v>
      </c>
      <c r="AT58" s="542">
        <f t="shared" si="50"/>
        <v>0</v>
      </c>
      <c r="AU58" s="542">
        <f t="shared" si="50"/>
        <v>0</v>
      </c>
      <c r="AV58" s="542">
        <f t="shared" si="50"/>
        <v>0</v>
      </c>
      <c r="AW58" s="542">
        <f t="shared" si="50"/>
        <v>0</v>
      </c>
      <c r="AX58" s="542">
        <f t="shared" si="50"/>
        <v>0</v>
      </c>
      <c r="AY58" s="542">
        <f t="shared" si="50"/>
        <v>0</v>
      </c>
      <c r="AZ58" s="542">
        <f t="shared" si="50"/>
        <v>0</v>
      </c>
      <c r="BA58" s="542">
        <f t="shared" si="50"/>
        <v>0</v>
      </c>
      <c r="BB58" s="542">
        <f t="shared" si="50"/>
        <v>0</v>
      </c>
      <c r="BC58" s="542">
        <f t="shared" si="50"/>
        <v>0</v>
      </c>
    </row>
    <row r="59" spans="2:55" x14ac:dyDescent="0.35">
      <c r="B59" s="508" t="str">
        <f t="shared" si="42"/>
        <v>Draff 4</v>
      </c>
      <c r="C59" s="543">
        <f t="shared" ref="C59:AH59" si="51">C39*$BF$42</f>
        <v>0</v>
      </c>
      <c r="D59" s="543">
        <f t="shared" si="51"/>
        <v>0</v>
      </c>
      <c r="E59" s="543">
        <f t="shared" si="51"/>
        <v>0</v>
      </c>
      <c r="F59" s="543">
        <f t="shared" si="51"/>
        <v>0</v>
      </c>
      <c r="G59" s="543">
        <f t="shared" si="51"/>
        <v>0</v>
      </c>
      <c r="H59" s="543">
        <f t="shared" si="51"/>
        <v>0</v>
      </c>
      <c r="I59" s="543">
        <f t="shared" si="51"/>
        <v>0</v>
      </c>
      <c r="J59" s="543">
        <f t="shared" si="51"/>
        <v>0</v>
      </c>
      <c r="K59" s="543">
        <f t="shared" si="51"/>
        <v>0</v>
      </c>
      <c r="L59" s="543">
        <f t="shared" si="51"/>
        <v>0</v>
      </c>
      <c r="M59" s="543">
        <f t="shared" si="51"/>
        <v>0</v>
      </c>
      <c r="N59" s="543">
        <f t="shared" si="51"/>
        <v>0</v>
      </c>
      <c r="O59" s="543">
        <f t="shared" si="51"/>
        <v>0</v>
      </c>
      <c r="P59" s="543">
        <f t="shared" si="51"/>
        <v>0</v>
      </c>
      <c r="Q59" s="543">
        <f t="shared" si="51"/>
        <v>9127.4639669798835</v>
      </c>
      <c r="R59" s="543">
        <f t="shared" si="51"/>
        <v>0</v>
      </c>
      <c r="S59" s="543">
        <f t="shared" si="51"/>
        <v>0</v>
      </c>
      <c r="T59" s="543">
        <f t="shared" si="51"/>
        <v>0</v>
      </c>
      <c r="U59" s="543">
        <f t="shared" si="51"/>
        <v>0</v>
      </c>
      <c r="V59" s="543">
        <f t="shared" si="51"/>
        <v>0</v>
      </c>
      <c r="W59" s="543">
        <f t="shared" si="51"/>
        <v>0</v>
      </c>
      <c r="X59" s="543">
        <f t="shared" si="51"/>
        <v>0</v>
      </c>
      <c r="Y59" s="543">
        <f t="shared" si="51"/>
        <v>0</v>
      </c>
      <c r="Z59" s="543">
        <f t="shared" si="51"/>
        <v>0</v>
      </c>
      <c r="AA59" s="543">
        <f t="shared" si="51"/>
        <v>0</v>
      </c>
      <c r="AB59" s="543">
        <f t="shared" si="51"/>
        <v>0</v>
      </c>
      <c r="AC59" s="543">
        <f t="shared" si="51"/>
        <v>0</v>
      </c>
      <c r="AD59" s="543">
        <f t="shared" si="51"/>
        <v>0</v>
      </c>
      <c r="AE59" s="543">
        <f t="shared" si="51"/>
        <v>0</v>
      </c>
      <c r="AF59" s="543">
        <f t="shared" si="51"/>
        <v>0</v>
      </c>
      <c r="AG59" s="543">
        <f t="shared" si="51"/>
        <v>0</v>
      </c>
      <c r="AH59" s="543">
        <f t="shared" si="51"/>
        <v>0</v>
      </c>
      <c r="AI59" s="543">
        <f t="shared" ref="AI59:BC59" si="52">AI39*$BF$42</f>
        <v>0</v>
      </c>
      <c r="AJ59" s="543">
        <f t="shared" si="52"/>
        <v>0</v>
      </c>
      <c r="AK59" s="543">
        <f t="shared" si="52"/>
        <v>0</v>
      </c>
      <c r="AL59" s="543">
        <f t="shared" si="52"/>
        <v>0</v>
      </c>
      <c r="AM59" s="543">
        <f t="shared" si="52"/>
        <v>0</v>
      </c>
      <c r="AN59" s="543">
        <f t="shared" si="52"/>
        <v>0</v>
      </c>
      <c r="AO59" s="543">
        <f t="shared" si="52"/>
        <v>0</v>
      </c>
      <c r="AP59" s="543">
        <f t="shared" si="52"/>
        <v>0</v>
      </c>
      <c r="AQ59" s="543">
        <f t="shared" si="52"/>
        <v>0</v>
      </c>
      <c r="AR59" s="543">
        <f t="shared" si="52"/>
        <v>0</v>
      </c>
      <c r="AS59" s="543">
        <f t="shared" si="52"/>
        <v>0</v>
      </c>
      <c r="AT59" s="543">
        <f t="shared" si="52"/>
        <v>0</v>
      </c>
      <c r="AU59" s="543">
        <f t="shared" si="52"/>
        <v>0</v>
      </c>
      <c r="AV59" s="543">
        <f t="shared" si="52"/>
        <v>0</v>
      </c>
      <c r="AW59" s="543">
        <f t="shared" si="52"/>
        <v>0</v>
      </c>
      <c r="AX59" s="543">
        <f t="shared" si="52"/>
        <v>0</v>
      </c>
      <c r="AY59" s="543">
        <f t="shared" si="52"/>
        <v>0</v>
      </c>
      <c r="AZ59" s="543">
        <f t="shared" si="52"/>
        <v>0</v>
      </c>
      <c r="BA59" s="543">
        <f t="shared" si="52"/>
        <v>0</v>
      </c>
      <c r="BB59" s="543">
        <f t="shared" si="52"/>
        <v>0</v>
      </c>
      <c r="BC59" s="543">
        <f t="shared" si="52"/>
        <v>0</v>
      </c>
    </row>
    <row r="60" spans="2:55" x14ac:dyDescent="0.35">
      <c r="B60" s="508" t="str">
        <f t="shared" si="42"/>
        <v>Pot Ale Syrup</v>
      </c>
      <c r="C60" s="547">
        <f t="shared" ref="C60:AH60" si="53">C40*$BF$42</f>
        <v>472.76229110738342</v>
      </c>
      <c r="D60" s="547">
        <f t="shared" si="53"/>
        <v>0</v>
      </c>
      <c r="E60" s="547">
        <f t="shared" si="53"/>
        <v>0</v>
      </c>
      <c r="F60" s="547">
        <f t="shared" si="53"/>
        <v>0</v>
      </c>
      <c r="G60" s="547">
        <f t="shared" si="53"/>
        <v>0</v>
      </c>
      <c r="H60" s="547">
        <f t="shared" si="53"/>
        <v>2836.5737466443006</v>
      </c>
      <c r="I60" s="547">
        <f t="shared" si="53"/>
        <v>0</v>
      </c>
      <c r="J60" s="547">
        <f t="shared" si="53"/>
        <v>0</v>
      </c>
      <c r="K60" s="547">
        <f t="shared" si="53"/>
        <v>0</v>
      </c>
      <c r="L60" s="547">
        <f t="shared" si="53"/>
        <v>0</v>
      </c>
      <c r="M60" s="547">
        <f t="shared" si="53"/>
        <v>5200.3852021812181</v>
      </c>
      <c r="N60" s="547">
        <f t="shared" si="53"/>
        <v>0</v>
      </c>
      <c r="O60" s="547">
        <f t="shared" si="53"/>
        <v>0</v>
      </c>
      <c r="P60" s="547">
        <f t="shared" si="53"/>
        <v>0</v>
      </c>
      <c r="Q60" s="547">
        <f t="shared" si="53"/>
        <v>7091.4343666107516</v>
      </c>
      <c r="R60" s="547">
        <f t="shared" si="53"/>
        <v>0</v>
      </c>
      <c r="S60" s="547">
        <f t="shared" si="53"/>
        <v>0</v>
      </c>
      <c r="T60" s="547">
        <f t="shared" si="53"/>
        <v>0</v>
      </c>
      <c r="U60" s="547">
        <f t="shared" si="53"/>
        <v>0</v>
      </c>
      <c r="V60" s="547">
        <f t="shared" si="53"/>
        <v>0</v>
      </c>
      <c r="W60" s="547">
        <f t="shared" si="53"/>
        <v>0</v>
      </c>
      <c r="X60" s="547">
        <f t="shared" si="53"/>
        <v>0</v>
      </c>
      <c r="Y60" s="547">
        <f t="shared" si="53"/>
        <v>0</v>
      </c>
      <c r="Z60" s="547">
        <f t="shared" si="53"/>
        <v>0</v>
      </c>
      <c r="AA60" s="547">
        <f t="shared" si="53"/>
        <v>0</v>
      </c>
      <c r="AB60" s="547">
        <f t="shared" si="53"/>
        <v>0</v>
      </c>
      <c r="AC60" s="547">
        <f t="shared" si="53"/>
        <v>0</v>
      </c>
      <c r="AD60" s="547">
        <f t="shared" si="53"/>
        <v>0</v>
      </c>
      <c r="AE60" s="547">
        <f t="shared" si="53"/>
        <v>0</v>
      </c>
      <c r="AF60" s="547">
        <f t="shared" si="53"/>
        <v>0</v>
      </c>
      <c r="AG60" s="547">
        <f t="shared" si="53"/>
        <v>0</v>
      </c>
      <c r="AH60" s="547">
        <f t="shared" si="53"/>
        <v>0</v>
      </c>
      <c r="AI60" s="547">
        <f t="shared" ref="AI60:BC60" si="54">AI40*$BF$42</f>
        <v>0</v>
      </c>
      <c r="AJ60" s="547">
        <f t="shared" si="54"/>
        <v>0</v>
      </c>
      <c r="AK60" s="547">
        <f t="shared" si="54"/>
        <v>0</v>
      </c>
      <c r="AL60" s="547">
        <f t="shared" si="54"/>
        <v>0</v>
      </c>
      <c r="AM60" s="547">
        <f t="shared" si="54"/>
        <v>0</v>
      </c>
      <c r="AN60" s="547">
        <f t="shared" si="54"/>
        <v>0</v>
      </c>
      <c r="AO60" s="547">
        <f t="shared" si="54"/>
        <v>0</v>
      </c>
      <c r="AP60" s="547">
        <f t="shared" si="54"/>
        <v>0</v>
      </c>
      <c r="AQ60" s="547">
        <f t="shared" si="54"/>
        <v>0</v>
      </c>
      <c r="AR60" s="547">
        <f t="shared" si="54"/>
        <v>0</v>
      </c>
      <c r="AS60" s="547">
        <f t="shared" si="54"/>
        <v>0</v>
      </c>
      <c r="AT60" s="547">
        <f t="shared" si="54"/>
        <v>0</v>
      </c>
      <c r="AU60" s="547">
        <f t="shared" si="54"/>
        <v>0</v>
      </c>
      <c r="AV60" s="547">
        <f t="shared" si="54"/>
        <v>0</v>
      </c>
      <c r="AW60" s="547">
        <f t="shared" si="54"/>
        <v>0</v>
      </c>
      <c r="AX60" s="547">
        <f t="shared" si="54"/>
        <v>0</v>
      </c>
      <c r="AY60" s="547">
        <f t="shared" si="54"/>
        <v>0</v>
      </c>
      <c r="AZ60" s="547">
        <f t="shared" si="54"/>
        <v>0</v>
      </c>
      <c r="BA60" s="547">
        <f t="shared" si="54"/>
        <v>0</v>
      </c>
      <c r="BB60" s="547">
        <f t="shared" si="54"/>
        <v>0</v>
      </c>
      <c r="BC60" s="547">
        <f t="shared" si="54"/>
        <v>0</v>
      </c>
    </row>
    <row r="61" spans="2:55" x14ac:dyDescent="0.35">
      <c r="C61" s="546"/>
      <c r="D61" s="546"/>
      <c r="E61" s="546"/>
      <c r="F61" s="546"/>
      <c r="G61" s="546"/>
      <c r="H61" s="546"/>
      <c r="I61" s="546"/>
      <c r="J61" s="546"/>
      <c r="K61" s="546"/>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6"/>
      <c r="AI61" s="546"/>
      <c r="AJ61" s="546"/>
      <c r="AK61" s="546"/>
      <c r="AL61" s="546"/>
      <c r="AM61" s="546"/>
      <c r="AN61" s="546"/>
      <c r="AO61" s="546"/>
      <c r="AP61" s="546"/>
      <c r="AQ61" s="546"/>
      <c r="AR61" s="546"/>
      <c r="AS61" s="546"/>
      <c r="AT61" s="546"/>
      <c r="AU61" s="546"/>
      <c r="AV61" s="546"/>
      <c r="AW61" s="546"/>
      <c r="AX61" s="546"/>
      <c r="AY61" s="546"/>
      <c r="AZ61" s="546"/>
      <c r="BA61" s="546"/>
      <c r="BB61" s="546"/>
      <c r="BC61" s="546"/>
    </row>
    <row r="62" spans="2:55" x14ac:dyDescent="0.35">
      <c r="B62" s="507" t="s">
        <v>722</v>
      </c>
      <c r="C62" s="546"/>
      <c r="D62" s="546"/>
      <c r="E62" s="546"/>
      <c r="F62" s="546"/>
      <c r="G62" s="546"/>
      <c r="H62" s="546"/>
      <c r="I62" s="546"/>
      <c r="J62" s="546"/>
      <c r="K62" s="546"/>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6"/>
      <c r="AI62" s="546"/>
      <c r="AJ62" s="546"/>
      <c r="AK62" s="546"/>
      <c r="AL62" s="546"/>
      <c r="AM62" s="546"/>
      <c r="AN62" s="546"/>
      <c r="AO62" s="546"/>
      <c r="AP62" s="546"/>
      <c r="AQ62" s="546"/>
      <c r="AR62" s="546"/>
      <c r="AS62" s="546"/>
      <c r="AT62" s="546"/>
      <c r="AU62" s="546"/>
      <c r="AV62" s="546"/>
      <c r="AW62" s="546"/>
      <c r="AX62" s="546"/>
      <c r="AY62" s="546"/>
      <c r="AZ62" s="546"/>
      <c r="BA62" s="546"/>
      <c r="BB62" s="546"/>
      <c r="BC62" s="546"/>
    </row>
    <row r="63" spans="2:55" x14ac:dyDescent="0.35">
      <c r="B63" s="508" t="str">
        <f>B6</f>
        <v>Rye Silage</v>
      </c>
      <c r="C63" s="542">
        <f t="shared" ref="C63:AH63" si="55">C43*$BF$45</f>
        <v>92.29158102979882</v>
      </c>
      <c r="D63" s="542">
        <f t="shared" si="55"/>
        <v>184.58316205959764</v>
      </c>
      <c r="E63" s="542">
        <f t="shared" si="55"/>
        <v>276.87474308939647</v>
      </c>
      <c r="F63" s="542">
        <f t="shared" si="55"/>
        <v>369.16632411919528</v>
      </c>
      <c r="G63" s="542">
        <f t="shared" si="55"/>
        <v>461.45790514899409</v>
      </c>
      <c r="H63" s="542">
        <f t="shared" si="55"/>
        <v>553.74948617879295</v>
      </c>
      <c r="I63" s="542">
        <f t="shared" si="55"/>
        <v>646.0410672085917</v>
      </c>
      <c r="J63" s="542">
        <f t="shared" si="55"/>
        <v>738.33264823839056</v>
      </c>
      <c r="K63" s="542">
        <f t="shared" si="55"/>
        <v>830.62422926818931</v>
      </c>
      <c r="L63" s="542">
        <f t="shared" si="55"/>
        <v>922.91581029798817</v>
      </c>
      <c r="M63" s="542">
        <f t="shared" si="55"/>
        <v>0</v>
      </c>
      <c r="N63" s="542">
        <f t="shared" si="55"/>
        <v>0</v>
      </c>
      <c r="O63" s="542">
        <f t="shared" si="55"/>
        <v>0</v>
      </c>
      <c r="P63" s="542">
        <f t="shared" si="55"/>
        <v>0</v>
      </c>
      <c r="Q63" s="542">
        <f t="shared" si="55"/>
        <v>0</v>
      </c>
      <c r="R63" s="542">
        <f t="shared" si="55"/>
        <v>0</v>
      </c>
      <c r="S63" s="542">
        <f t="shared" si="55"/>
        <v>0</v>
      </c>
      <c r="T63" s="542">
        <f t="shared" si="55"/>
        <v>0</v>
      </c>
      <c r="U63" s="542">
        <f t="shared" si="55"/>
        <v>0</v>
      </c>
      <c r="V63" s="542">
        <f t="shared" si="55"/>
        <v>0</v>
      </c>
      <c r="W63" s="542">
        <f t="shared" si="55"/>
        <v>0</v>
      </c>
      <c r="X63" s="542">
        <f t="shared" si="55"/>
        <v>0</v>
      </c>
      <c r="Y63" s="542">
        <f t="shared" si="55"/>
        <v>0</v>
      </c>
      <c r="Z63" s="542">
        <f t="shared" si="55"/>
        <v>0</v>
      </c>
      <c r="AA63" s="542">
        <f t="shared" si="55"/>
        <v>0</v>
      </c>
      <c r="AB63" s="542">
        <f t="shared" si="55"/>
        <v>0</v>
      </c>
      <c r="AC63" s="542">
        <f t="shared" si="55"/>
        <v>0</v>
      </c>
      <c r="AD63" s="542">
        <f t="shared" si="55"/>
        <v>0</v>
      </c>
      <c r="AE63" s="542">
        <f t="shared" si="55"/>
        <v>0</v>
      </c>
      <c r="AF63" s="542">
        <f t="shared" si="55"/>
        <v>0</v>
      </c>
      <c r="AG63" s="542">
        <f t="shared" si="55"/>
        <v>0</v>
      </c>
      <c r="AH63" s="542">
        <f t="shared" si="55"/>
        <v>0</v>
      </c>
      <c r="AI63" s="542">
        <f t="shared" ref="AI63:BC63" si="56">AI43*$BF$45</f>
        <v>0</v>
      </c>
      <c r="AJ63" s="542">
        <f t="shared" si="56"/>
        <v>0</v>
      </c>
      <c r="AK63" s="542">
        <f t="shared" si="56"/>
        <v>0</v>
      </c>
      <c r="AL63" s="542">
        <f t="shared" si="56"/>
        <v>0</v>
      </c>
      <c r="AM63" s="542">
        <f t="shared" si="56"/>
        <v>0</v>
      </c>
      <c r="AN63" s="542">
        <f t="shared" si="56"/>
        <v>0</v>
      </c>
      <c r="AO63" s="542">
        <f t="shared" si="56"/>
        <v>0</v>
      </c>
      <c r="AP63" s="542">
        <f t="shared" si="56"/>
        <v>0</v>
      </c>
      <c r="AQ63" s="542">
        <f t="shared" si="56"/>
        <v>0</v>
      </c>
      <c r="AR63" s="542">
        <f t="shared" si="56"/>
        <v>0</v>
      </c>
      <c r="AS63" s="542">
        <f t="shared" si="56"/>
        <v>0</v>
      </c>
      <c r="AT63" s="542">
        <f t="shared" si="56"/>
        <v>0</v>
      </c>
      <c r="AU63" s="542">
        <f t="shared" si="56"/>
        <v>0</v>
      </c>
      <c r="AV63" s="542">
        <f t="shared" si="56"/>
        <v>0</v>
      </c>
      <c r="AW63" s="542">
        <f t="shared" si="56"/>
        <v>0</v>
      </c>
      <c r="AX63" s="542">
        <f t="shared" si="56"/>
        <v>0</v>
      </c>
      <c r="AY63" s="542">
        <f t="shared" si="56"/>
        <v>0</v>
      </c>
      <c r="AZ63" s="542">
        <f t="shared" si="56"/>
        <v>0</v>
      </c>
      <c r="BA63" s="542">
        <f t="shared" si="56"/>
        <v>0</v>
      </c>
      <c r="BB63" s="542">
        <f t="shared" si="56"/>
        <v>0</v>
      </c>
      <c r="BC63" s="542">
        <f t="shared" si="56"/>
        <v>0</v>
      </c>
    </row>
    <row r="64" spans="2:55" x14ac:dyDescent="0.35">
      <c r="B64" s="508" t="str">
        <f t="shared" ref="B64:B69" si="57">B7</f>
        <v>Straw</v>
      </c>
      <c r="C64" s="542">
        <f t="shared" ref="C64:AH64" si="58">C44*$BF$45</f>
        <v>0</v>
      </c>
      <c r="D64" s="542">
        <f t="shared" si="58"/>
        <v>0</v>
      </c>
      <c r="E64" s="542">
        <f t="shared" si="58"/>
        <v>0</v>
      </c>
      <c r="F64" s="542">
        <f t="shared" si="58"/>
        <v>0</v>
      </c>
      <c r="G64" s="542">
        <f t="shared" si="58"/>
        <v>0</v>
      </c>
      <c r="H64" s="542">
        <f t="shared" si="58"/>
        <v>0</v>
      </c>
      <c r="I64" s="542">
        <f t="shared" si="58"/>
        <v>0</v>
      </c>
      <c r="J64" s="542">
        <f t="shared" si="58"/>
        <v>0</v>
      </c>
      <c r="K64" s="542">
        <f t="shared" si="58"/>
        <v>0</v>
      </c>
      <c r="L64" s="542">
        <f t="shared" si="58"/>
        <v>0</v>
      </c>
      <c r="M64" s="542">
        <f t="shared" si="58"/>
        <v>0</v>
      </c>
      <c r="N64" s="542">
        <f t="shared" si="58"/>
        <v>0</v>
      </c>
      <c r="O64" s="542">
        <f t="shared" si="58"/>
        <v>0</v>
      </c>
      <c r="P64" s="542">
        <f t="shared" si="58"/>
        <v>0</v>
      </c>
      <c r="Q64" s="542">
        <f t="shared" si="58"/>
        <v>0</v>
      </c>
      <c r="R64" s="542">
        <f t="shared" si="58"/>
        <v>0</v>
      </c>
      <c r="S64" s="542">
        <f t="shared" si="58"/>
        <v>0</v>
      </c>
      <c r="T64" s="542">
        <f t="shared" si="58"/>
        <v>0</v>
      </c>
      <c r="U64" s="542">
        <f t="shared" si="58"/>
        <v>0</v>
      </c>
      <c r="V64" s="542">
        <f t="shared" si="58"/>
        <v>0</v>
      </c>
      <c r="W64" s="542">
        <f t="shared" si="58"/>
        <v>0</v>
      </c>
      <c r="X64" s="542">
        <f t="shared" si="58"/>
        <v>0</v>
      </c>
      <c r="Y64" s="542">
        <f t="shared" si="58"/>
        <v>0</v>
      </c>
      <c r="Z64" s="542">
        <f t="shared" si="58"/>
        <v>0</v>
      </c>
      <c r="AA64" s="542">
        <f t="shared" si="58"/>
        <v>0</v>
      </c>
      <c r="AB64" s="542">
        <f t="shared" si="58"/>
        <v>0</v>
      </c>
      <c r="AC64" s="542">
        <f t="shared" si="58"/>
        <v>0</v>
      </c>
      <c r="AD64" s="542">
        <f t="shared" si="58"/>
        <v>0</v>
      </c>
      <c r="AE64" s="542">
        <f t="shared" si="58"/>
        <v>0</v>
      </c>
      <c r="AF64" s="542">
        <f t="shared" si="58"/>
        <v>0</v>
      </c>
      <c r="AG64" s="542">
        <f t="shared" si="58"/>
        <v>0</v>
      </c>
      <c r="AH64" s="542">
        <f t="shared" si="58"/>
        <v>0</v>
      </c>
      <c r="AI64" s="542">
        <f t="shared" ref="AI64:BC64" si="59">AI44*$BF$45</f>
        <v>0</v>
      </c>
      <c r="AJ64" s="542">
        <f t="shared" si="59"/>
        <v>0</v>
      </c>
      <c r="AK64" s="542">
        <f t="shared" si="59"/>
        <v>0</v>
      </c>
      <c r="AL64" s="542">
        <f t="shared" si="59"/>
        <v>0</v>
      </c>
      <c r="AM64" s="542">
        <f t="shared" si="59"/>
        <v>0</v>
      </c>
      <c r="AN64" s="542">
        <f t="shared" si="59"/>
        <v>0</v>
      </c>
      <c r="AO64" s="542">
        <f t="shared" si="59"/>
        <v>0</v>
      </c>
      <c r="AP64" s="542">
        <f t="shared" si="59"/>
        <v>0</v>
      </c>
      <c r="AQ64" s="542">
        <f t="shared" si="59"/>
        <v>0</v>
      </c>
      <c r="AR64" s="542">
        <f t="shared" si="59"/>
        <v>0</v>
      </c>
      <c r="AS64" s="542">
        <f t="shared" si="59"/>
        <v>0</v>
      </c>
      <c r="AT64" s="542">
        <f t="shared" si="59"/>
        <v>0</v>
      </c>
      <c r="AU64" s="542">
        <f t="shared" si="59"/>
        <v>0</v>
      </c>
      <c r="AV64" s="542">
        <f t="shared" si="59"/>
        <v>0</v>
      </c>
      <c r="AW64" s="542">
        <f t="shared" si="59"/>
        <v>0</v>
      </c>
      <c r="AX64" s="542">
        <f t="shared" si="59"/>
        <v>0</v>
      </c>
      <c r="AY64" s="542">
        <f t="shared" si="59"/>
        <v>0</v>
      </c>
      <c r="AZ64" s="542">
        <f t="shared" si="59"/>
        <v>0</v>
      </c>
      <c r="BA64" s="542">
        <f t="shared" si="59"/>
        <v>0</v>
      </c>
      <c r="BB64" s="542">
        <f t="shared" si="59"/>
        <v>0</v>
      </c>
      <c r="BC64" s="542">
        <f t="shared" si="59"/>
        <v>0</v>
      </c>
    </row>
    <row r="65" spans="2:55" x14ac:dyDescent="0.35">
      <c r="B65" s="508" t="str">
        <f t="shared" si="57"/>
        <v>Draff 1</v>
      </c>
      <c r="C65" s="542">
        <f t="shared" ref="C65:AH65" si="60">C45*$BF$45</f>
        <v>718.01472554899453</v>
      </c>
      <c r="D65" s="542">
        <f t="shared" si="60"/>
        <v>0</v>
      </c>
      <c r="E65" s="542">
        <f t="shared" si="60"/>
        <v>0</v>
      </c>
      <c r="F65" s="542">
        <f t="shared" si="60"/>
        <v>0</v>
      </c>
      <c r="G65" s="542">
        <f t="shared" si="60"/>
        <v>0</v>
      </c>
      <c r="H65" s="542">
        <f t="shared" si="60"/>
        <v>0</v>
      </c>
      <c r="I65" s="542">
        <f t="shared" si="60"/>
        <v>0</v>
      </c>
      <c r="J65" s="542">
        <f t="shared" si="60"/>
        <v>0</v>
      </c>
      <c r="K65" s="542">
        <f t="shared" si="60"/>
        <v>0</v>
      </c>
      <c r="L65" s="542">
        <f t="shared" si="60"/>
        <v>0</v>
      </c>
      <c r="M65" s="542">
        <f t="shared" si="60"/>
        <v>0</v>
      </c>
      <c r="N65" s="542">
        <f t="shared" si="60"/>
        <v>0</v>
      </c>
      <c r="O65" s="542">
        <f t="shared" si="60"/>
        <v>0</v>
      </c>
      <c r="P65" s="542">
        <f t="shared" si="60"/>
        <v>0</v>
      </c>
      <c r="Q65" s="542">
        <f t="shared" si="60"/>
        <v>0</v>
      </c>
      <c r="R65" s="542">
        <f t="shared" si="60"/>
        <v>0</v>
      </c>
      <c r="S65" s="542">
        <f t="shared" si="60"/>
        <v>0</v>
      </c>
      <c r="T65" s="542">
        <f t="shared" si="60"/>
        <v>0</v>
      </c>
      <c r="U65" s="542">
        <f t="shared" si="60"/>
        <v>0</v>
      </c>
      <c r="V65" s="542">
        <f t="shared" si="60"/>
        <v>0</v>
      </c>
      <c r="W65" s="542">
        <f t="shared" si="60"/>
        <v>0</v>
      </c>
      <c r="X65" s="542">
        <f t="shared" si="60"/>
        <v>0</v>
      </c>
      <c r="Y65" s="542">
        <f t="shared" si="60"/>
        <v>0</v>
      </c>
      <c r="Z65" s="542">
        <f t="shared" si="60"/>
        <v>0</v>
      </c>
      <c r="AA65" s="542">
        <f t="shared" si="60"/>
        <v>0</v>
      </c>
      <c r="AB65" s="542">
        <f t="shared" si="60"/>
        <v>0</v>
      </c>
      <c r="AC65" s="542">
        <f t="shared" si="60"/>
        <v>0</v>
      </c>
      <c r="AD65" s="542">
        <f t="shared" si="60"/>
        <v>0</v>
      </c>
      <c r="AE65" s="542">
        <f t="shared" si="60"/>
        <v>0</v>
      </c>
      <c r="AF65" s="542">
        <f t="shared" si="60"/>
        <v>0</v>
      </c>
      <c r="AG65" s="542">
        <f t="shared" si="60"/>
        <v>0</v>
      </c>
      <c r="AH65" s="542">
        <f t="shared" si="60"/>
        <v>0</v>
      </c>
      <c r="AI65" s="542">
        <f t="shared" ref="AI65:BC65" si="61">AI45*$BF$45</f>
        <v>0</v>
      </c>
      <c r="AJ65" s="542">
        <f t="shared" si="61"/>
        <v>0</v>
      </c>
      <c r="AK65" s="542">
        <f t="shared" si="61"/>
        <v>0</v>
      </c>
      <c r="AL65" s="542">
        <f t="shared" si="61"/>
        <v>0</v>
      </c>
      <c r="AM65" s="542">
        <f t="shared" si="61"/>
        <v>0</v>
      </c>
      <c r="AN65" s="542">
        <f t="shared" si="61"/>
        <v>0</v>
      </c>
      <c r="AO65" s="542">
        <f t="shared" si="61"/>
        <v>0</v>
      </c>
      <c r="AP65" s="542">
        <f t="shared" si="61"/>
        <v>0</v>
      </c>
      <c r="AQ65" s="542">
        <f t="shared" si="61"/>
        <v>0</v>
      </c>
      <c r="AR65" s="542">
        <f t="shared" si="61"/>
        <v>0</v>
      </c>
      <c r="AS65" s="542">
        <f t="shared" si="61"/>
        <v>0</v>
      </c>
      <c r="AT65" s="542">
        <f t="shared" si="61"/>
        <v>0</v>
      </c>
      <c r="AU65" s="542">
        <f t="shared" si="61"/>
        <v>0</v>
      </c>
      <c r="AV65" s="542">
        <f t="shared" si="61"/>
        <v>0</v>
      </c>
      <c r="AW65" s="542">
        <f t="shared" si="61"/>
        <v>0</v>
      </c>
      <c r="AX65" s="542">
        <f t="shared" si="61"/>
        <v>0</v>
      </c>
      <c r="AY65" s="542">
        <f t="shared" si="61"/>
        <v>0</v>
      </c>
      <c r="AZ65" s="542">
        <f t="shared" si="61"/>
        <v>0</v>
      </c>
      <c r="BA65" s="542">
        <f t="shared" si="61"/>
        <v>0</v>
      </c>
      <c r="BB65" s="542">
        <f t="shared" si="61"/>
        <v>0</v>
      </c>
      <c r="BC65" s="542">
        <f t="shared" si="61"/>
        <v>0</v>
      </c>
    </row>
    <row r="66" spans="2:55" x14ac:dyDescent="0.35">
      <c r="B66" s="508" t="str">
        <f t="shared" si="57"/>
        <v>Draff 2</v>
      </c>
      <c r="C66" s="542">
        <f t="shared" ref="C66:AH66" si="62">C46*$BF$45</f>
        <v>0</v>
      </c>
      <c r="D66" s="542">
        <f t="shared" si="62"/>
        <v>0</v>
      </c>
      <c r="E66" s="542">
        <f t="shared" si="62"/>
        <v>0</v>
      </c>
      <c r="F66" s="542">
        <f t="shared" si="62"/>
        <v>0</v>
      </c>
      <c r="G66" s="542">
        <f t="shared" si="62"/>
        <v>0</v>
      </c>
      <c r="H66" s="542">
        <f t="shared" si="62"/>
        <v>0</v>
      </c>
      <c r="I66" s="542">
        <f t="shared" si="62"/>
        <v>0</v>
      </c>
      <c r="J66" s="542">
        <f t="shared" si="62"/>
        <v>0</v>
      </c>
      <c r="K66" s="542">
        <f t="shared" si="62"/>
        <v>0</v>
      </c>
      <c r="L66" s="542">
        <f t="shared" si="62"/>
        <v>0</v>
      </c>
      <c r="M66" s="542">
        <f t="shared" si="62"/>
        <v>0</v>
      </c>
      <c r="N66" s="542">
        <f t="shared" si="62"/>
        <v>0</v>
      </c>
      <c r="O66" s="542">
        <f t="shared" si="62"/>
        <v>0</v>
      </c>
      <c r="P66" s="542">
        <f t="shared" si="62"/>
        <v>0</v>
      </c>
      <c r="Q66" s="542">
        <f t="shared" si="62"/>
        <v>0</v>
      </c>
      <c r="R66" s="542">
        <f t="shared" si="62"/>
        <v>0</v>
      </c>
      <c r="S66" s="542">
        <f t="shared" si="62"/>
        <v>0</v>
      </c>
      <c r="T66" s="542">
        <f t="shared" si="62"/>
        <v>0</v>
      </c>
      <c r="U66" s="542">
        <f t="shared" si="62"/>
        <v>0</v>
      </c>
      <c r="V66" s="542">
        <f t="shared" si="62"/>
        <v>0</v>
      </c>
      <c r="W66" s="542">
        <f t="shared" si="62"/>
        <v>0</v>
      </c>
      <c r="X66" s="542">
        <f t="shared" si="62"/>
        <v>0</v>
      </c>
      <c r="Y66" s="542">
        <f t="shared" si="62"/>
        <v>0</v>
      </c>
      <c r="Z66" s="542">
        <f t="shared" si="62"/>
        <v>0</v>
      </c>
      <c r="AA66" s="542">
        <f t="shared" si="62"/>
        <v>0</v>
      </c>
      <c r="AB66" s="542">
        <f t="shared" si="62"/>
        <v>0</v>
      </c>
      <c r="AC66" s="542">
        <f t="shared" si="62"/>
        <v>0</v>
      </c>
      <c r="AD66" s="542">
        <f t="shared" si="62"/>
        <v>0</v>
      </c>
      <c r="AE66" s="542">
        <f t="shared" si="62"/>
        <v>0</v>
      </c>
      <c r="AF66" s="542">
        <f t="shared" si="62"/>
        <v>0</v>
      </c>
      <c r="AG66" s="542">
        <f t="shared" si="62"/>
        <v>0</v>
      </c>
      <c r="AH66" s="542">
        <f t="shared" si="62"/>
        <v>0</v>
      </c>
      <c r="AI66" s="542">
        <f t="shared" ref="AI66:BC66" si="63">AI46*$BF$45</f>
        <v>0</v>
      </c>
      <c r="AJ66" s="542">
        <f t="shared" si="63"/>
        <v>0</v>
      </c>
      <c r="AK66" s="542">
        <f t="shared" si="63"/>
        <v>0</v>
      </c>
      <c r="AL66" s="542">
        <f t="shared" si="63"/>
        <v>0</v>
      </c>
      <c r="AM66" s="542">
        <f t="shared" si="63"/>
        <v>0</v>
      </c>
      <c r="AN66" s="542">
        <f t="shared" si="63"/>
        <v>0</v>
      </c>
      <c r="AO66" s="542">
        <f t="shared" si="63"/>
        <v>0</v>
      </c>
      <c r="AP66" s="542">
        <f t="shared" si="63"/>
        <v>0</v>
      </c>
      <c r="AQ66" s="542">
        <f t="shared" si="63"/>
        <v>0</v>
      </c>
      <c r="AR66" s="542">
        <f t="shared" si="63"/>
        <v>0</v>
      </c>
      <c r="AS66" s="542">
        <f t="shared" si="63"/>
        <v>0</v>
      </c>
      <c r="AT66" s="542">
        <f t="shared" si="63"/>
        <v>0</v>
      </c>
      <c r="AU66" s="542">
        <f t="shared" si="63"/>
        <v>0</v>
      </c>
      <c r="AV66" s="542">
        <f t="shared" si="63"/>
        <v>0</v>
      </c>
      <c r="AW66" s="542">
        <f t="shared" si="63"/>
        <v>0</v>
      </c>
      <c r="AX66" s="542">
        <f t="shared" si="63"/>
        <v>0</v>
      </c>
      <c r="AY66" s="542">
        <f t="shared" si="63"/>
        <v>0</v>
      </c>
      <c r="AZ66" s="542">
        <f t="shared" si="63"/>
        <v>0</v>
      </c>
      <c r="BA66" s="542">
        <f t="shared" si="63"/>
        <v>0</v>
      </c>
      <c r="BB66" s="542">
        <f t="shared" si="63"/>
        <v>0</v>
      </c>
      <c r="BC66" s="542">
        <f t="shared" si="63"/>
        <v>0</v>
      </c>
    </row>
    <row r="67" spans="2:55" x14ac:dyDescent="0.35">
      <c r="B67" s="508" t="str">
        <f t="shared" si="57"/>
        <v>Draff 3</v>
      </c>
      <c r="C67" s="542">
        <f t="shared" ref="C67:AH67" si="64">C47*$BF$45</f>
        <v>0</v>
      </c>
      <c r="D67" s="542">
        <f t="shared" si="64"/>
        <v>0</v>
      </c>
      <c r="E67" s="542">
        <f t="shared" si="64"/>
        <v>0</v>
      </c>
      <c r="F67" s="542">
        <f t="shared" si="64"/>
        <v>0</v>
      </c>
      <c r="G67" s="542">
        <f t="shared" si="64"/>
        <v>0</v>
      </c>
      <c r="H67" s="542">
        <f t="shared" si="64"/>
        <v>0</v>
      </c>
      <c r="I67" s="542">
        <f t="shared" si="64"/>
        <v>0</v>
      </c>
      <c r="J67" s="542">
        <f t="shared" si="64"/>
        <v>0</v>
      </c>
      <c r="K67" s="542">
        <f t="shared" si="64"/>
        <v>0</v>
      </c>
      <c r="L67" s="542">
        <f t="shared" si="64"/>
        <v>0</v>
      </c>
      <c r="M67" s="542">
        <f t="shared" si="64"/>
        <v>0</v>
      </c>
      <c r="N67" s="542">
        <f t="shared" si="64"/>
        <v>0</v>
      </c>
      <c r="O67" s="542">
        <f t="shared" si="64"/>
        <v>0</v>
      </c>
      <c r="P67" s="542">
        <f t="shared" si="64"/>
        <v>0</v>
      </c>
      <c r="Q67" s="542">
        <f t="shared" si="64"/>
        <v>0</v>
      </c>
      <c r="R67" s="542">
        <f t="shared" si="64"/>
        <v>0</v>
      </c>
      <c r="S67" s="542">
        <f t="shared" si="64"/>
        <v>0</v>
      </c>
      <c r="T67" s="542">
        <f t="shared" si="64"/>
        <v>0</v>
      </c>
      <c r="U67" s="542">
        <f t="shared" si="64"/>
        <v>0</v>
      </c>
      <c r="V67" s="542">
        <f t="shared" si="64"/>
        <v>0</v>
      </c>
      <c r="W67" s="542">
        <f t="shared" si="64"/>
        <v>0</v>
      </c>
      <c r="X67" s="542">
        <f t="shared" si="64"/>
        <v>0</v>
      </c>
      <c r="Y67" s="542">
        <f t="shared" si="64"/>
        <v>0</v>
      </c>
      <c r="Z67" s="542">
        <f t="shared" si="64"/>
        <v>0</v>
      </c>
      <c r="AA67" s="542">
        <f t="shared" si="64"/>
        <v>0</v>
      </c>
      <c r="AB67" s="542">
        <f t="shared" si="64"/>
        <v>0</v>
      </c>
      <c r="AC67" s="542">
        <f t="shared" si="64"/>
        <v>0</v>
      </c>
      <c r="AD67" s="542">
        <f t="shared" si="64"/>
        <v>0</v>
      </c>
      <c r="AE67" s="542">
        <f t="shared" si="64"/>
        <v>0</v>
      </c>
      <c r="AF67" s="542">
        <f t="shared" si="64"/>
        <v>0</v>
      </c>
      <c r="AG67" s="542">
        <f t="shared" si="64"/>
        <v>0</v>
      </c>
      <c r="AH67" s="542">
        <f t="shared" si="64"/>
        <v>0</v>
      </c>
      <c r="AI67" s="542">
        <f t="shared" ref="AI67:BC67" si="65">AI47*$BF$45</f>
        <v>0</v>
      </c>
      <c r="AJ67" s="542">
        <f t="shared" si="65"/>
        <v>0</v>
      </c>
      <c r="AK67" s="542">
        <f t="shared" si="65"/>
        <v>0</v>
      </c>
      <c r="AL67" s="542">
        <f t="shared" si="65"/>
        <v>0</v>
      </c>
      <c r="AM67" s="542">
        <f t="shared" si="65"/>
        <v>0</v>
      </c>
      <c r="AN67" s="542">
        <f t="shared" si="65"/>
        <v>0</v>
      </c>
      <c r="AO67" s="542">
        <f t="shared" si="65"/>
        <v>0</v>
      </c>
      <c r="AP67" s="542">
        <f t="shared" si="65"/>
        <v>0</v>
      </c>
      <c r="AQ67" s="542">
        <f t="shared" si="65"/>
        <v>0</v>
      </c>
      <c r="AR67" s="542">
        <f t="shared" si="65"/>
        <v>0</v>
      </c>
      <c r="AS67" s="542">
        <f t="shared" si="65"/>
        <v>0</v>
      </c>
      <c r="AT67" s="542">
        <f t="shared" si="65"/>
        <v>0</v>
      </c>
      <c r="AU67" s="542">
        <f t="shared" si="65"/>
        <v>0</v>
      </c>
      <c r="AV67" s="542">
        <f t="shared" si="65"/>
        <v>0</v>
      </c>
      <c r="AW67" s="542">
        <f t="shared" si="65"/>
        <v>0</v>
      </c>
      <c r="AX67" s="542">
        <f t="shared" si="65"/>
        <v>0</v>
      </c>
      <c r="AY67" s="542">
        <f t="shared" si="65"/>
        <v>0</v>
      </c>
      <c r="AZ67" s="542">
        <f t="shared" si="65"/>
        <v>0</v>
      </c>
      <c r="BA67" s="542">
        <f t="shared" si="65"/>
        <v>0</v>
      </c>
      <c r="BB67" s="542">
        <f t="shared" si="65"/>
        <v>0</v>
      </c>
      <c r="BC67" s="542">
        <f t="shared" si="65"/>
        <v>0</v>
      </c>
    </row>
    <row r="68" spans="2:55" x14ac:dyDescent="0.35">
      <c r="B68" s="508" t="str">
        <f t="shared" si="57"/>
        <v>Draff 4</v>
      </c>
      <c r="C68" s="542">
        <f t="shared" ref="C68:AH68" si="66">C48*$BF$45</f>
        <v>0</v>
      </c>
      <c r="D68" s="542">
        <f t="shared" si="66"/>
        <v>0</v>
      </c>
      <c r="E68" s="542">
        <f t="shared" si="66"/>
        <v>0</v>
      </c>
      <c r="F68" s="542">
        <f t="shared" si="66"/>
        <v>0</v>
      </c>
      <c r="G68" s="542">
        <f t="shared" si="66"/>
        <v>0</v>
      </c>
      <c r="H68" s="542">
        <f t="shared" si="66"/>
        <v>0</v>
      </c>
      <c r="I68" s="542">
        <f t="shared" si="66"/>
        <v>0</v>
      </c>
      <c r="J68" s="542">
        <f t="shared" si="66"/>
        <v>0</v>
      </c>
      <c r="K68" s="542">
        <f t="shared" si="66"/>
        <v>0</v>
      </c>
      <c r="L68" s="542">
        <f t="shared" si="66"/>
        <v>0</v>
      </c>
      <c r="M68" s="542">
        <f t="shared" si="66"/>
        <v>0</v>
      </c>
      <c r="N68" s="542">
        <f t="shared" si="66"/>
        <v>0</v>
      </c>
      <c r="O68" s="542">
        <f t="shared" si="66"/>
        <v>0</v>
      </c>
      <c r="P68" s="542">
        <f t="shared" si="66"/>
        <v>0</v>
      </c>
      <c r="Q68" s="542">
        <f t="shared" si="66"/>
        <v>0</v>
      </c>
      <c r="R68" s="542">
        <f t="shared" si="66"/>
        <v>0</v>
      </c>
      <c r="S68" s="542">
        <f t="shared" si="66"/>
        <v>0</v>
      </c>
      <c r="T68" s="542">
        <f t="shared" si="66"/>
        <v>0</v>
      </c>
      <c r="U68" s="542">
        <f t="shared" si="66"/>
        <v>0</v>
      </c>
      <c r="V68" s="542">
        <f t="shared" si="66"/>
        <v>0</v>
      </c>
      <c r="W68" s="542">
        <f t="shared" si="66"/>
        <v>0</v>
      </c>
      <c r="X68" s="542">
        <f t="shared" si="66"/>
        <v>0</v>
      </c>
      <c r="Y68" s="542">
        <f t="shared" si="66"/>
        <v>0</v>
      </c>
      <c r="Z68" s="542">
        <f t="shared" si="66"/>
        <v>0</v>
      </c>
      <c r="AA68" s="542">
        <f t="shared" si="66"/>
        <v>0</v>
      </c>
      <c r="AB68" s="542">
        <f t="shared" si="66"/>
        <v>0</v>
      </c>
      <c r="AC68" s="542">
        <f t="shared" si="66"/>
        <v>0</v>
      </c>
      <c r="AD68" s="542">
        <f t="shared" si="66"/>
        <v>0</v>
      </c>
      <c r="AE68" s="542">
        <f t="shared" si="66"/>
        <v>0</v>
      </c>
      <c r="AF68" s="542">
        <f t="shared" si="66"/>
        <v>0</v>
      </c>
      <c r="AG68" s="542">
        <f t="shared" si="66"/>
        <v>0</v>
      </c>
      <c r="AH68" s="542">
        <f t="shared" si="66"/>
        <v>0</v>
      </c>
      <c r="AI68" s="542">
        <f t="shared" ref="AI68:BC68" si="67">AI48*$BF$45</f>
        <v>0</v>
      </c>
      <c r="AJ68" s="542">
        <f t="shared" si="67"/>
        <v>0</v>
      </c>
      <c r="AK68" s="542">
        <f t="shared" si="67"/>
        <v>0</v>
      </c>
      <c r="AL68" s="542">
        <f t="shared" si="67"/>
        <v>0</v>
      </c>
      <c r="AM68" s="542">
        <f t="shared" si="67"/>
        <v>0</v>
      </c>
      <c r="AN68" s="542">
        <f t="shared" si="67"/>
        <v>0</v>
      </c>
      <c r="AO68" s="542">
        <f t="shared" si="67"/>
        <v>0</v>
      </c>
      <c r="AP68" s="542">
        <f t="shared" si="67"/>
        <v>0</v>
      </c>
      <c r="AQ68" s="542">
        <f t="shared" si="67"/>
        <v>0</v>
      </c>
      <c r="AR68" s="542">
        <f t="shared" si="67"/>
        <v>0</v>
      </c>
      <c r="AS68" s="542">
        <f t="shared" si="67"/>
        <v>0</v>
      </c>
      <c r="AT68" s="542">
        <f t="shared" si="67"/>
        <v>0</v>
      </c>
      <c r="AU68" s="542">
        <f t="shared" si="67"/>
        <v>0</v>
      </c>
      <c r="AV68" s="542">
        <f t="shared" si="67"/>
        <v>0</v>
      </c>
      <c r="AW68" s="542">
        <f t="shared" si="67"/>
        <v>0</v>
      </c>
      <c r="AX68" s="542">
        <f t="shared" si="67"/>
        <v>0</v>
      </c>
      <c r="AY68" s="542">
        <f t="shared" si="67"/>
        <v>0</v>
      </c>
      <c r="AZ68" s="542">
        <f t="shared" si="67"/>
        <v>0</v>
      </c>
      <c r="BA68" s="542">
        <f t="shared" si="67"/>
        <v>0</v>
      </c>
      <c r="BB68" s="542">
        <f t="shared" si="67"/>
        <v>0</v>
      </c>
      <c r="BC68" s="542">
        <f t="shared" si="67"/>
        <v>0</v>
      </c>
    </row>
    <row r="69" spans="2:55" x14ac:dyDescent="0.35">
      <c r="B69" s="508" t="str">
        <f t="shared" si="57"/>
        <v>Pot Ale Syrup</v>
      </c>
      <c r="C69" s="542">
        <f t="shared" ref="C69:AH69" si="68">C49*$BF$45</f>
        <v>0</v>
      </c>
      <c r="D69" s="542">
        <f t="shared" si="68"/>
        <v>0</v>
      </c>
      <c r="E69" s="542">
        <f t="shared" si="68"/>
        <v>0</v>
      </c>
      <c r="F69" s="542">
        <f t="shared" si="68"/>
        <v>0</v>
      </c>
      <c r="G69" s="542">
        <f t="shared" si="68"/>
        <v>0</v>
      </c>
      <c r="H69" s="542">
        <f t="shared" si="68"/>
        <v>0</v>
      </c>
      <c r="I69" s="542">
        <f t="shared" si="68"/>
        <v>0</v>
      </c>
      <c r="J69" s="542">
        <f t="shared" si="68"/>
        <v>0</v>
      </c>
      <c r="K69" s="542">
        <f t="shared" si="68"/>
        <v>0</v>
      </c>
      <c r="L69" s="542">
        <f t="shared" si="68"/>
        <v>0</v>
      </c>
      <c r="M69" s="542">
        <f t="shared" si="68"/>
        <v>0</v>
      </c>
      <c r="N69" s="542">
        <f t="shared" si="68"/>
        <v>0</v>
      </c>
      <c r="O69" s="542">
        <f t="shared" si="68"/>
        <v>0</v>
      </c>
      <c r="P69" s="542">
        <f t="shared" si="68"/>
        <v>0</v>
      </c>
      <c r="Q69" s="542">
        <f t="shared" si="68"/>
        <v>0</v>
      </c>
      <c r="R69" s="542">
        <f t="shared" si="68"/>
        <v>0</v>
      </c>
      <c r="S69" s="542">
        <f t="shared" si="68"/>
        <v>0</v>
      </c>
      <c r="T69" s="542">
        <f t="shared" si="68"/>
        <v>0</v>
      </c>
      <c r="U69" s="542">
        <f t="shared" si="68"/>
        <v>0</v>
      </c>
      <c r="V69" s="542">
        <f t="shared" si="68"/>
        <v>0</v>
      </c>
      <c r="W69" s="542">
        <f t="shared" si="68"/>
        <v>0</v>
      </c>
      <c r="X69" s="542">
        <f t="shared" si="68"/>
        <v>0</v>
      </c>
      <c r="Y69" s="542">
        <f t="shared" si="68"/>
        <v>0</v>
      </c>
      <c r="Z69" s="542">
        <f t="shared" si="68"/>
        <v>0</v>
      </c>
      <c r="AA69" s="542">
        <f t="shared" si="68"/>
        <v>0</v>
      </c>
      <c r="AB69" s="542">
        <f t="shared" si="68"/>
        <v>0</v>
      </c>
      <c r="AC69" s="542">
        <f t="shared" si="68"/>
        <v>0</v>
      </c>
      <c r="AD69" s="542">
        <f t="shared" si="68"/>
        <v>0</v>
      </c>
      <c r="AE69" s="542">
        <f t="shared" si="68"/>
        <v>0</v>
      </c>
      <c r="AF69" s="542">
        <f t="shared" si="68"/>
        <v>0</v>
      </c>
      <c r="AG69" s="542">
        <f t="shared" si="68"/>
        <v>0</v>
      </c>
      <c r="AH69" s="542">
        <f t="shared" si="68"/>
        <v>0</v>
      </c>
      <c r="AI69" s="542">
        <f t="shared" ref="AI69:BC69" si="69">AI49*$BF$45</f>
        <v>0</v>
      </c>
      <c r="AJ69" s="542">
        <f t="shared" si="69"/>
        <v>0</v>
      </c>
      <c r="AK69" s="542">
        <f t="shared" si="69"/>
        <v>0</v>
      </c>
      <c r="AL69" s="542">
        <f t="shared" si="69"/>
        <v>0</v>
      </c>
      <c r="AM69" s="542">
        <f t="shared" si="69"/>
        <v>0</v>
      </c>
      <c r="AN69" s="542">
        <f t="shared" si="69"/>
        <v>0</v>
      </c>
      <c r="AO69" s="542">
        <f t="shared" si="69"/>
        <v>0</v>
      </c>
      <c r="AP69" s="542">
        <f t="shared" si="69"/>
        <v>0</v>
      </c>
      <c r="AQ69" s="542">
        <f t="shared" si="69"/>
        <v>0</v>
      </c>
      <c r="AR69" s="542">
        <f t="shared" si="69"/>
        <v>0</v>
      </c>
      <c r="AS69" s="542">
        <f t="shared" si="69"/>
        <v>0</v>
      </c>
      <c r="AT69" s="542">
        <f t="shared" si="69"/>
        <v>0</v>
      </c>
      <c r="AU69" s="542">
        <f t="shared" si="69"/>
        <v>0</v>
      </c>
      <c r="AV69" s="542">
        <f t="shared" si="69"/>
        <v>0</v>
      </c>
      <c r="AW69" s="542">
        <f t="shared" si="69"/>
        <v>0</v>
      </c>
      <c r="AX69" s="542">
        <f t="shared" si="69"/>
        <v>0</v>
      </c>
      <c r="AY69" s="542">
        <f t="shared" si="69"/>
        <v>0</v>
      </c>
      <c r="AZ69" s="542">
        <f t="shared" si="69"/>
        <v>0</v>
      </c>
      <c r="BA69" s="542">
        <f t="shared" si="69"/>
        <v>0</v>
      </c>
      <c r="BB69" s="542">
        <f t="shared" si="69"/>
        <v>0</v>
      </c>
      <c r="BC69" s="542">
        <f t="shared" si="69"/>
        <v>0</v>
      </c>
    </row>
    <row r="70" spans="2:55" x14ac:dyDescent="0.35">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546"/>
      <c r="AM70" s="546"/>
      <c r="AN70" s="546"/>
      <c r="AO70" s="546"/>
      <c r="AP70" s="546"/>
      <c r="AQ70" s="546"/>
      <c r="AR70" s="546"/>
      <c r="AS70" s="546"/>
      <c r="AT70" s="546"/>
      <c r="AU70" s="546"/>
      <c r="AV70" s="546"/>
      <c r="AW70" s="546"/>
      <c r="AX70" s="546"/>
      <c r="AY70" s="546"/>
      <c r="AZ70" s="546"/>
      <c r="BA70" s="546"/>
      <c r="BB70" s="546"/>
      <c r="BC70" s="546"/>
    </row>
    <row r="71" spans="2:55" x14ac:dyDescent="0.35">
      <c r="C71" s="546"/>
      <c r="D71" s="546"/>
      <c r="E71" s="546"/>
      <c r="F71" s="546"/>
      <c r="G71" s="546"/>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6"/>
      <c r="BA71" s="546"/>
      <c r="BB71" s="546"/>
      <c r="BC71" s="546"/>
    </row>
    <row r="72" spans="2:55" x14ac:dyDescent="0.35">
      <c r="B72" s="534" t="s">
        <v>354</v>
      </c>
      <c r="C72" s="546"/>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6"/>
    </row>
    <row r="73" spans="2:55" x14ac:dyDescent="0.35">
      <c r="B73" s="507" t="s">
        <v>721</v>
      </c>
      <c r="C73" s="546"/>
      <c r="D73" s="546"/>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546"/>
      <c r="AM73" s="546"/>
      <c r="AN73" s="546"/>
      <c r="AO73" s="546"/>
      <c r="AP73" s="546"/>
      <c r="AQ73" s="546"/>
      <c r="AR73" s="546"/>
      <c r="AS73" s="546"/>
      <c r="AT73" s="546"/>
      <c r="AU73" s="546"/>
      <c r="AV73" s="546"/>
      <c r="AW73" s="546"/>
      <c r="AX73" s="546"/>
      <c r="AY73" s="546"/>
      <c r="AZ73" s="546"/>
      <c r="BA73" s="546"/>
      <c r="BB73" s="546"/>
      <c r="BC73" s="546"/>
    </row>
    <row r="74" spans="2:55" x14ac:dyDescent="0.35">
      <c r="B74" s="508" t="str">
        <f>B6</f>
        <v>Rye Silage</v>
      </c>
      <c r="C74" s="542">
        <f>C34*(($BF$42*$BM$7)+($BF$43*$BO$7))</f>
        <v>31.860351085906139</v>
      </c>
      <c r="D74" s="542">
        <f t="shared" ref="D74:Q74" si="70">D34*(($BF$42*$BM$7)+($BF$43*$BO$7))</f>
        <v>63.720702171812277</v>
      </c>
      <c r="E74" s="542">
        <f t="shared" si="70"/>
        <v>95.581053257718423</v>
      </c>
      <c r="F74" s="542">
        <f t="shared" si="70"/>
        <v>127.44140434362455</v>
      </c>
      <c r="G74" s="542">
        <f t="shared" si="70"/>
        <v>159.30175542953069</v>
      </c>
      <c r="H74" s="542">
        <f t="shared" si="70"/>
        <v>191.16210651543685</v>
      </c>
      <c r="I74" s="542">
        <f t="shared" si="70"/>
        <v>223.02245760134298</v>
      </c>
      <c r="J74" s="542">
        <f t="shared" si="70"/>
        <v>254.88280868724911</v>
      </c>
      <c r="K74" s="542">
        <f t="shared" si="70"/>
        <v>286.74315977315524</v>
      </c>
      <c r="L74" s="542">
        <f t="shared" si="70"/>
        <v>318.60351085906137</v>
      </c>
      <c r="M74" s="542">
        <f t="shared" si="70"/>
        <v>0</v>
      </c>
      <c r="N74" s="542">
        <f t="shared" si="70"/>
        <v>0</v>
      </c>
      <c r="O74" s="542">
        <f t="shared" si="70"/>
        <v>0</v>
      </c>
      <c r="P74" s="542">
        <f t="shared" si="70"/>
        <v>0</v>
      </c>
      <c r="Q74" s="542">
        <f t="shared" si="70"/>
        <v>0</v>
      </c>
      <c r="R74" s="542">
        <f t="shared" ref="R74:BC74" si="71">R34*(($BF$42*$BM$7)+($BF$43*$BO$7))</f>
        <v>0</v>
      </c>
      <c r="S74" s="542">
        <f t="shared" si="71"/>
        <v>0</v>
      </c>
      <c r="T74" s="542">
        <f t="shared" si="71"/>
        <v>0</v>
      </c>
      <c r="U74" s="542">
        <f t="shared" si="71"/>
        <v>0</v>
      </c>
      <c r="V74" s="542">
        <f t="shared" si="71"/>
        <v>0</v>
      </c>
      <c r="W74" s="542">
        <f t="shared" si="71"/>
        <v>0</v>
      </c>
      <c r="X74" s="542">
        <f t="shared" si="71"/>
        <v>0</v>
      </c>
      <c r="Y74" s="542">
        <f t="shared" si="71"/>
        <v>0</v>
      </c>
      <c r="Z74" s="542">
        <f t="shared" si="71"/>
        <v>0</v>
      </c>
      <c r="AA74" s="542">
        <f t="shared" si="71"/>
        <v>0</v>
      </c>
      <c r="AB74" s="542">
        <f t="shared" si="71"/>
        <v>0</v>
      </c>
      <c r="AC74" s="542">
        <f t="shared" si="71"/>
        <v>0</v>
      </c>
      <c r="AD74" s="542">
        <f t="shared" si="71"/>
        <v>0</v>
      </c>
      <c r="AE74" s="542">
        <f t="shared" si="71"/>
        <v>0</v>
      </c>
      <c r="AF74" s="542">
        <f t="shared" si="71"/>
        <v>0</v>
      </c>
      <c r="AG74" s="542">
        <f t="shared" si="71"/>
        <v>0</v>
      </c>
      <c r="AH74" s="542">
        <f t="shared" si="71"/>
        <v>0</v>
      </c>
      <c r="AI74" s="542">
        <f t="shared" si="71"/>
        <v>0</v>
      </c>
      <c r="AJ74" s="542">
        <f t="shared" si="71"/>
        <v>0</v>
      </c>
      <c r="AK74" s="542">
        <f t="shared" si="71"/>
        <v>0</v>
      </c>
      <c r="AL74" s="542">
        <f t="shared" si="71"/>
        <v>0</v>
      </c>
      <c r="AM74" s="542">
        <f t="shared" si="71"/>
        <v>0</v>
      </c>
      <c r="AN74" s="542">
        <f t="shared" si="71"/>
        <v>0</v>
      </c>
      <c r="AO74" s="542">
        <f t="shared" si="71"/>
        <v>0</v>
      </c>
      <c r="AP74" s="542">
        <f t="shared" si="71"/>
        <v>0</v>
      </c>
      <c r="AQ74" s="542">
        <f t="shared" si="71"/>
        <v>0</v>
      </c>
      <c r="AR74" s="542">
        <f t="shared" si="71"/>
        <v>0</v>
      </c>
      <c r="AS74" s="542">
        <f t="shared" si="71"/>
        <v>0</v>
      </c>
      <c r="AT74" s="542">
        <f t="shared" si="71"/>
        <v>0</v>
      </c>
      <c r="AU74" s="542">
        <f t="shared" si="71"/>
        <v>0</v>
      </c>
      <c r="AV74" s="542">
        <f t="shared" si="71"/>
        <v>0</v>
      </c>
      <c r="AW74" s="542">
        <f t="shared" si="71"/>
        <v>0</v>
      </c>
      <c r="AX74" s="542">
        <f t="shared" si="71"/>
        <v>0</v>
      </c>
      <c r="AY74" s="542">
        <f t="shared" si="71"/>
        <v>0</v>
      </c>
      <c r="AZ74" s="542">
        <f t="shared" si="71"/>
        <v>0</v>
      </c>
      <c r="BA74" s="542">
        <f t="shared" si="71"/>
        <v>0</v>
      </c>
      <c r="BB74" s="542">
        <f t="shared" si="71"/>
        <v>0</v>
      </c>
      <c r="BC74" s="542">
        <f t="shared" si="71"/>
        <v>0</v>
      </c>
    </row>
    <row r="75" spans="2:55" x14ac:dyDescent="0.35">
      <c r="B75" s="508" t="str">
        <f t="shared" ref="B75:B80" si="72">B7</f>
        <v>Straw</v>
      </c>
      <c r="C75" s="543">
        <f>C35*(($BF$42*$BM$19)+($BF$43*$BO$19))</f>
        <v>21.27416414362423</v>
      </c>
      <c r="D75" s="543">
        <f t="shared" ref="D75:Q75" si="73">D35*(($BF$42*$BM$19)+($BF$43*$BO$19))</f>
        <v>42.548328287248459</v>
      </c>
      <c r="E75" s="543">
        <f t="shared" si="73"/>
        <v>63.822492430872686</v>
      </c>
      <c r="F75" s="543">
        <f t="shared" si="73"/>
        <v>85.096656574496919</v>
      </c>
      <c r="G75" s="543">
        <f t="shared" si="73"/>
        <v>106.37082071812115</v>
      </c>
      <c r="H75" s="543">
        <f t="shared" si="73"/>
        <v>127.64498486174537</v>
      </c>
      <c r="I75" s="543">
        <f t="shared" si="73"/>
        <v>148.9191490053696</v>
      </c>
      <c r="J75" s="543">
        <f t="shared" si="73"/>
        <v>170.19331314899384</v>
      </c>
      <c r="K75" s="543">
        <f t="shared" si="73"/>
        <v>191.46747729261807</v>
      </c>
      <c r="L75" s="543">
        <f t="shared" si="73"/>
        <v>212.7416414362423</v>
      </c>
      <c r="M75" s="543">
        <f t="shared" si="73"/>
        <v>0</v>
      </c>
      <c r="N75" s="543">
        <f t="shared" si="73"/>
        <v>0</v>
      </c>
      <c r="O75" s="543">
        <f t="shared" si="73"/>
        <v>0</v>
      </c>
      <c r="P75" s="543">
        <f t="shared" si="73"/>
        <v>0</v>
      </c>
      <c r="Q75" s="543">
        <f t="shared" si="73"/>
        <v>0</v>
      </c>
      <c r="R75" s="543" t="e">
        <f t="shared" ref="R75:BC75" si="74">R35*(($BF$42*$BM$10)+($BF$43*$BO$10))</f>
        <v>#DIV/0!</v>
      </c>
      <c r="S75" s="543" t="e">
        <f t="shared" si="74"/>
        <v>#DIV/0!</v>
      </c>
      <c r="T75" s="543" t="e">
        <f t="shared" si="74"/>
        <v>#DIV/0!</v>
      </c>
      <c r="U75" s="543" t="e">
        <f t="shared" si="74"/>
        <v>#DIV/0!</v>
      </c>
      <c r="V75" s="543" t="e">
        <f t="shared" si="74"/>
        <v>#DIV/0!</v>
      </c>
      <c r="W75" s="543" t="e">
        <f t="shared" si="74"/>
        <v>#DIV/0!</v>
      </c>
      <c r="X75" s="543" t="e">
        <f t="shared" si="74"/>
        <v>#DIV/0!</v>
      </c>
      <c r="Y75" s="543" t="e">
        <f t="shared" si="74"/>
        <v>#DIV/0!</v>
      </c>
      <c r="Z75" s="543" t="e">
        <f t="shared" si="74"/>
        <v>#DIV/0!</v>
      </c>
      <c r="AA75" s="543" t="e">
        <f t="shared" si="74"/>
        <v>#DIV/0!</v>
      </c>
      <c r="AB75" s="543" t="e">
        <f t="shared" si="74"/>
        <v>#DIV/0!</v>
      </c>
      <c r="AC75" s="543" t="e">
        <f t="shared" si="74"/>
        <v>#DIV/0!</v>
      </c>
      <c r="AD75" s="543" t="e">
        <f t="shared" si="74"/>
        <v>#DIV/0!</v>
      </c>
      <c r="AE75" s="543" t="e">
        <f t="shared" si="74"/>
        <v>#DIV/0!</v>
      </c>
      <c r="AF75" s="543" t="e">
        <f t="shared" si="74"/>
        <v>#DIV/0!</v>
      </c>
      <c r="AG75" s="543" t="e">
        <f t="shared" si="74"/>
        <v>#DIV/0!</v>
      </c>
      <c r="AH75" s="543" t="e">
        <f t="shared" si="74"/>
        <v>#DIV/0!</v>
      </c>
      <c r="AI75" s="543" t="e">
        <f t="shared" si="74"/>
        <v>#DIV/0!</v>
      </c>
      <c r="AJ75" s="543" t="e">
        <f t="shared" si="74"/>
        <v>#DIV/0!</v>
      </c>
      <c r="AK75" s="543" t="e">
        <f t="shared" si="74"/>
        <v>#DIV/0!</v>
      </c>
      <c r="AL75" s="543" t="e">
        <f t="shared" si="74"/>
        <v>#DIV/0!</v>
      </c>
      <c r="AM75" s="543" t="e">
        <f t="shared" si="74"/>
        <v>#DIV/0!</v>
      </c>
      <c r="AN75" s="543" t="e">
        <f t="shared" si="74"/>
        <v>#DIV/0!</v>
      </c>
      <c r="AO75" s="543" t="e">
        <f t="shared" si="74"/>
        <v>#DIV/0!</v>
      </c>
      <c r="AP75" s="543" t="e">
        <f t="shared" si="74"/>
        <v>#DIV/0!</v>
      </c>
      <c r="AQ75" s="543" t="e">
        <f t="shared" si="74"/>
        <v>#DIV/0!</v>
      </c>
      <c r="AR75" s="543" t="e">
        <f t="shared" si="74"/>
        <v>#DIV/0!</v>
      </c>
      <c r="AS75" s="543" t="e">
        <f t="shared" si="74"/>
        <v>#DIV/0!</v>
      </c>
      <c r="AT75" s="543" t="e">
        <f t="shared" si="74"/>
        <v>#DIV/0!</v>
      </c>
      <c r="AU75" s="543" t="e">
        <f t="shared" si="74"/>
        <v>#DIV/0!</v>
      </c>
      <c r="AV75" s="543" t="e">
        <f t="shared" si="74"/>
        <v>#DIV/0!</v>
      </c>
      <c r="AW75" s="543" t="e">
        <f t="shared" si="74"/>
        <v>#DIV/0!</v>
      </c>
      <c r="AX75" s="543" t="e">
        <f t="shared" si="74"/>
        <v>#DIV/0!</v>
      </c>
      <c r="AY75" s="543" t="e">
        <f t="shared" si="74"/>
        <v>#DIV/0!</v>
      </c>
      <c r="AZ75" s="543" t="e">
        <f t="shared" si="74"/>
        <v>#DIV/0!</v>
      </c>
      <c r="BA75" s="543" t="e">
        <f t="shared" si="74"/>
        <v>#DIV/0!</v>
      </c>
      <c r="BB75" s="543" t="e">
        <f t="shared" si="74"/>
        <v>#DIV/0!</v>
      </c>
      <c r="BC75" s="543" t="e">
        <f t="shared" si="74"/>
        <v>#DIV/0!</v>
      </c>
    </row>
    <row r="76" spans="2:55" x14ac:dyDescent="0.35">
      <c r="B76" s="508" t="str">
        <f t="shared" si="72"/>
        <v>Draff 1</v>
      </c>
      <c r="C76" s="542">
        <f>C36*(($BF$42*$BM$13)+($BF$43*$BO$13))</f>
        <v>1017.90259060403</v>
      </c>
      <c r="D76" s="542">
        <f t="shared" ref="D76:Q76" si="75">D36*(($BF$42*$BM$13)+($BF$43*$BO$13))</f>
        <v>0</v>
      </c>
      <c r="E76" s="542">
        <f t="shared" si="75"/>
        <v>0</v>
      </c>
      <c r="F76" s="542">
        <f t="shared" si="75"/>
        <v>0</v>
      </c>
      <c r="G76" s="542">
        <f t="shared" si="75"/>
        <v>0</v>
      </c>
      <c r="H76" s="542">
        <f t="shared" si="75"/>
        <v>0</v>
      </c>
      <c r="I76" s="542">
        <f t="shared" si="75"/>
        <v>0</v>
      </c>
      <c r="J76" s="542">
        <f t="shared" si="75"/>
        <v>0</v>
      </c>
      <c r="K76" s="542">
        <f t="shared" si="75"/>
        <v>0</v>
      </c>
      <c r="L76" s="542">
        <f t="shared" si="75"/>
        <v>0</v>
      </c>
      <c r="M76" s="542">
        <f t="shared" si="75"/>
        <v>0</v>
      </c>
      <c r="N76" s="542">
        <f t="shared" si="75"/>
        <v>0</v>
      </c>
      <c r="O76" s="542">
        <f t="shared" si="75"/>
        <v>0</v>
      </c>
      <c r="P76" s="542">
        <f t="shared" si="75"/>
        <v>0</v>
      </c>
      <c r="Q76" s="542">
        <f t="shared" si="75"/>
        <v>0</v>
      </c>
      <c r="R76" s="542">
        <f t="shared" ref="R76:BC76" si="76">R36*(($BF$42*$BM$17)+($BF$43*$BO$17))</f>
        <v>0</v>
      </c>
      <c r="S76" s="542">
        <f t="shared" si="76"/>
        <v>0</v>
      </c>
      <c r="T76" s="542">
        <f t="shared" si="76"/>
        <v>0</v>
      </c>
      <c r="U76" s="542">
        <f t="shared" si="76"/>
        <v>0</v>
      </c>
      <c r="V76" s="542">
        <f t="shared" si="76"/>
        <v>0</v>
      </c>
      <c r="W76" s="542">
        <f t="shared" si="76"/>
        <v>0</v>
      </c>
      <c r="X76" s="542">
        <f t="shared" si="76"/>
        <v>0</v>
      </c>
      <c r="Y76" s="542">
        <f t="shared" si="76"/>
        <v>0</v>
      </c>
      <c r="Z76" s="542">
        <f t="shared" si="76"/>
        <v>0</v>
      </c>
      <c r="AA76" s="542">
        <f t="shared" si="76"/>
        <v>0</v>
      </c>
      <c r="AB76" s="542">
        <f t="shared" si="76"/>
        <v>0</v>
      </c>
      <c r="AC76" s="542">
        <f t="shared" si="76"/>
        <v>0</v>
      </c>
      <c r="AD76" s="542">
        <f t="shared" si="76"/>
        <v>0</v>
      </c>
      <c r="AE76" s="542">
        <f t="shared" si="76"/>
        <v>0</v>
      </c>
      <c r="AF76" s="542">
        <f t="shared" si="76"/>
        <v>0</v>
      </c>
      <c r="AG76" s="542">
        <f t="shared" si="76"/>
        <v>0</v>
      </c>
      <c r="AH76" s="542">
        <f t="shared" si="76"/>
        <v>0</v>
      </c>
      <c r="AI76" s="542">
        <f t="shared" si="76"/>
        <v>0</v>
      </c>
      <c r="AJ76" s="542">
        <f t="shared" si="76"/>
        <v>0</v>
      </c>
      <c r="AK76" s="542">
        <f t="shared" si="76"/>
        <v>0</v>
      </c>
      <c r="AL76" s="542">
        <f t="shared" si="76"/>
        <v>0</v>
      </c>
      <c r="AM76" s="542">
        <f t="shared" si="76"/>
        <v>0</v>
      </c>
      <c r="AN76" s="542">
        <f t="shared" si="76"/>
        <v>0</v>
      </c>
      <c r="AO76" s="542">
        <f t="shared" si="76"/>
        <v>0</v>
      </c>
      <c r="AP76" s="542">
        <f t="shared" si="76"/>
        <v>0</v>
      </c>
      <c r="AQ76" s="542">
        <f t="shared" si="76"/>
        <v>0</v>
      </c>
      <c r="AR76" s="542">
        <f t="shared" si="76"/>
        <v>0</v>
      </c>
      <c r="AS76" s="542">
        <f t="shared" si="76"/>
        <v>0</v>
      </c>
      <c r="AT76" s="542">
        <f t="shared" si="76"/>
        <v>0</v>
      </c>
      <c r="AU76" s="542">
        <f t="shared" si="76"/>
        <v>0</v>
      </c>
      <c r="AV76" s="542">
        <f t="shared" si="76"/>
        <v>0</v>
      </c>
      <c r="AW76" s="542">
        <f t="shared" si="76"/>
        <v>0</v>
      </c>
      <c r="AX76" s="542">
        <f t="shared" si="76"/>
        <v>0</v>
      </c>
      <c r="AY76" s="542">
        <f t="shared" si="76"/>
        <v>0</v>
      </c>
      <c r="AZ76" s="542">
        <f t="shared" si="76"/>
        <v>0</v>
      </c>
      <c r="BA76" s="542">
        <f t="shared" si="76"/>
        <v>0</v>
      </c>
      <c r="BB76" s="542">
        <f t="shared" si="76"/>
        <v>0</v>
      </c>
      <c r="BC76" s="542">
        <f t="shared" si="76"/>
        <v>0</v>
      </c>
    </row>
    <row r="77" spans="2:55" x14ac:dyDescent="0.35">
      <c r="B77" s="508" t="str">
        <f t="shared" si="72"/>
        <v>Draff 2</v>
      </c>
      <c r="C77" s="542">
        <f t="shared" ref="C77:Q79" si="77">C37*(($BF$42*$BM$13)+($BF$43*$BO$13))</f>
        <v>0</v>
      </c>
      <c r="D77" s="542">
        <f t="shared" si="77"/>
        <v>0</v>
      </c>
      <c r="E77" s="542">
        <f t="shared" si="77"/>
        <v>0</v>
      </c>
      <c r="F77" s="542">
        <f t="shared" si="77"/>
        <v>0</v>
      </c>
      <c r="G77" s="542">
        <f t="shared" si="77"/>
        <v>0</v>
      </c>
      <c r="H77" s="542">
        <f t="shared" si="77"/>
        <v>2210.884426791953</v>
      </c>
      <c r="I77" s="542">
        <f t="shared" si="77"/>
        <v>0</v>
      </c>
      <c r="J77" s="542">
        <f t="shared" si="77"/>
        <v>0</v>
      </c>
      <c r="K77" s="542">
        <f t="shared" si="77"/>
        <v>0</v>
      </c>
      <c r="L77" s="542">
        <f t="shared" si="77"/>
        <v>0</v>
      </c>
      <c r="M77" s="542">
        <f t="shared" si="77"/>
        <v>0</v>
      </c>
      <c r="N77" s="542">
        <f t="shared" si="77"/>
        <v>0</v>
      </c>
      <c r="O77" s="542">
        <f t="shared" si="77"/>
        <v>0</v>
      </c>
      <c r="P77" s="542">
        <f t="shared" si="77"/>
        <v>0</v>
      </c>
      <c r="Q77" s="542">
        <f t="shared" si="77"/>
        <v>0</v>
      </c>
      <c r="R77" s="543">
        <f t="shared" ref="R77:BC77" si="78">R37*$BF$43</f>
        <v>0</v>
      </c>
      <c r="S77" s="543">
        <f t="shared" si="78"/>
        <v>0</v>
      </c>
      <c r="T77" s="543">
        <f t="shared" si="78"/>
        <v>0</v>
      </c>
      <c r="U77" s="543">
        <f t="shared" si="78"/>
        <v>0</v>
      </c>
      <c r="V77" s="543">
        <f t="shared" si="78"/>
        <v>0</v>
      </c>
      <c r="W77" s="543">
        <f t="shared" si="78"/>
        <v>0</v>
      </c>
      <c r="X77" s="543">
        <f t="shared" si="78"/>
        <v>0</v>
      </c>
      <c r="Y77" s="543">
        <f t="shared" si="78"/>
        <v>0</v>
      </c>
      <c r="Z77" s="543">
        <f t="shared" si="78"/>
        <v>0</v>
      </c>
      <c r="AA77" s="543">
        <f t="shared" si="78"/>
        <v>0</v>
      </c>
      <c r="AB77" s="543">
        <f t="shared" si="78"/>
        <v>0</v>
      </c>
      <c r="AC77" s="543">
        <f t="shared" si="78"/>
        <v>0</v>
      </c>
      <c r="AD77" s="543">
        <f t="shared" si="78"/>
        <v>0</v>
      </c>
      <c r="AE77" s="543">
        <f t="shared" si="78"/>
        <v>0</v>
      </c>
      <c r="AF77" s="543">
        <f t="shared" si="78"/>
        <v>0</v>
      </c>
      <c r="AG77" s="543">
        <f t="shared" si="78"/>
        <v>0</v>
      </c>
      <c r="AH77" s="543">
        <f t="shared" si="78"/>
        <v>0</v>
      </c>
      <c r="AI77" s="543">
        <f t="shared" si="78"/>
        <v>0</v>
      </c>
      <c r="AJ77" s="543">
        <f t="shared" si="78"/>
        <v>0</v>
      </c>
      <c r="AK77" s="543">
        <f t="shared" si="78"/>
        <v>0</v>
      </c>
      <c r="AL77" s="543">
        <f t="shared" si="78"/>
        <v>0</v>
      </c>
      <c r="AM77" s="543">
        <f t="shared" si="78"/>
        <v>0</v>
      </c>
      <c r="AN77" s="543">
        <f t="shared" si="78"/>
        <v>0</v>
      </c>
      <c r="AO77" s="543">
        <f t="shared" si="78"/>
        <v>0</v>
      </c>
      <c r="AP77" s="543">
        <f t="shared" si="78"/>
        <v>0</v>
      </c>
      <c r="AQ77" s="543">
        <f t="shared" si="78"/>
        <v>0</v>
      </c>
      <c r="AR77" s="543">
        <f t="shared" si="78"/>
        <v>0</v>
      </c>
      <c r="AS77" s="543">
        <f t="shared" si="78"/>
        <v>0</v>
      </c>
      <c r="AT77" s="543">
        <f t="shared" si="78"/>
        <v>0</v>
      </c>
      <c r="AU77" s="543">
        <f t="shared" si="78"/>
        <v>0</v>
      </c>
      <c r="AV77" s="543">
        <f t="shared" si="78"/>
        <v>0</v>
      </c>
      <c r="AW77" s="543">
        <f t="shared" si="78"/>
        <v>0</v>
      </c>
      <c r="AX77" s="543">
        <f t="shared" si="78"/>
        <v>0</v>
      </c>
      <c r="AY77" s="543">
        <f t="shared" si="78"/>
        <v>0</v>
      </c>
      <c r="AZ77" s="543">
        <f t="shared" si="78"/>
        <v>0</v>
      </c>
      <c r="BA77" s="543">
        <f t="shared" si="78"/>
        <v>0</v>
      </c>
      <c r="BB77" s="543">
        <f t="shared" si="78"/>
        <v>0</v>
      </c>
      <c r="BC77" s="543">
        <f t="shared" si="78"/>
        <v>0</v>
      </c>
    </row>
    <row r="78" spans="2:55" x14ac:dyDescent="0.35">
      <c r="B78" s="508" t="str">
        <f t="shared" si="72"/>
        <v>Draff 3</v>
      </c>
      <c r="C78" s="542">
        <f t="shared" si="77"/>
        <v>0</v>
      </c>
      <c r="D78" s="542">
        <f t="shared" si="77"/>
        <v>0</v>
      </c>
      <c r="E78" s="542">
        <f t="shared" si="77"/>
        <v>0</v>
      </c>
      <c r="F78" s="542">
        <f t="shared" si="77"/>
        <v>0</v>
      </c>
      <c r="G78" s="542">
        <f t="shared" si="77"/>
        <v>0</v>
      </c>
      <c r="H78" s="542">
        <f t="shared" si="77"/>
        <v>0</v>
      </c>
      <c r="I78" s="542">
        <f t="shared" si="77"/>
        <v>0</v>
      </c>
      <c r="J78" s="542">
        <f t="shared" si="77"/>
        <v>0</v>
      </c>
      <c r="K78" s="542">
        <f t="shared" si="77"/>
        <v>0</v>
      </c>
      <c r="L78" s="542">
        <f t="shared" si="77"/>
        <v>0</v>
      </c>
      <c r="M78" s="542">
        <f t="shared" si="77"/>
        <v>4053.2881157852476</v>
      </c>
      <c r="N78" s="542">
        <f t="shared" si="77"/>
        <v>0</v>
      </c>
      <c r="O78" s="542">
        <f t="shared" si="77"/>
        <v>0</v>
      </c>
      <c r="P78" s="542">
        <f t="shared" si="77"/>
        <v>0</v>
      </c>
      <c r="Q78" s="542">
        <f t="shared" si="77"/>
        <v>0</v>
      </c>
      <c r="R78" s="542">
        <f t="shared" ref="R78:BC78" si="79">R38*$BF$43</f>
        <v>0</v>
      </c>
      <c r="S78" s="542">
        <f t="shared" si="79"/>
        <v>0</v>
      </c>
      <c r="T78" s="542">
        <f t="shared" si="79"/>
        <v>0</v>
      </c>
      <c r="U78" s="542">
        <f t="shared" si="79"/>
        <v>0</v>
      </c>
      <c r="V78" s="542">
        <f t="shared" si="79"/>
        <v>0</v>
      </c>
      <c r="W78" s="542">
        <f t="shared" si="79"/>
        <v>0</v>
      </c>
      <c r="X78" s="542">
        <f t="shared" si="79"/>
        <v>0</v>
      </c>
      <c r="Y78" s="542">
        <f t="shared" si="79"/>
        <v>0</v>
      </c>
      <c r="Z78" s="542">
        <f t="shared" si="79"/>
        <v>0</v>
      </c>
      <c r="AA78" s="542">
        <f t="shared" si="79"/>
        <v>0</v>
      </c>
      <c r="AB78" s="542">
        <f t="shared" si="79"/>
        <v>0</v>
      </c>
      <c r="AC78" s="542">
        <f t="shared" si="79"/>
        <v>0</v>
      </c>
      <c r="AD78" s="542">
        <f t="shared" si="79"/>
        <v>0</v>
      </c>
      <c r="AE78" s="542">
        <f t="shared" si="79"/>
        <v>0</v>
      </c>
      <c r="AF78" s="542">
        <f t="shared" si="79"/>
        <v>0</v>
      </c>
      <c r="AG78" s="542">
        <f t="shared" si="79"/>
        <v>0</v>
      </c>
      <c r="AH78" s="542">
        <f t="shared" si="79"/>
        <v>0</v>
      </c>
      <c r="AI78" s="542">
        <f t="shared" si="79"/>
        <v>0</v>
      </c>
      <c r="AJ78" s="542">
        <f t="shared" si="79"/>
        <v>0</v>
      </c>
      <c r="AK78" s="542">
        <f t="shared" si="79"/>
        <v>0</v>
      </c>
      <c r="AL78" s="542">
        <f t="shared" si="79"/>
        <v>0</v>
      </c>
      <c r="AM78" s="542">
        <f t="shared" si="79"/>
        <v>0</v>
      </c>
      <c r="AN78" s="542">
        <f t="shared" si="79"/>
        <v>0</v>
      </c>
      <c r="AO78" s="542">
        <f t="shared" si="79"/>
        <v>0</v>
      </c>
      <c r="AP78" s="542">
        <f t="shared" si="79"/>
        <v>0</v>
      </c>
      <c r="AQ78" s="542">
        <f t="shared" si="79"/>
        <v>0</v>
      </c>
      <c r="AR78" s="542">
        <f t="shared" si="79"/>
        <v>0</v>
      </c>
      <c r="AS78" s="542">
        <f t="shared" si="79"/>
        <v>0</v>
      </c>
      <c r="AT78" s="542">
        <f t="shared" si="79"/>
        <v>0</v>
      </c>
      <c r="AU78" s="542">
        <f t="shared" si="79"/>
        <v>0</v>
      </c>
      <c r="AV78" s="542">
        <f t="shared" si="79"/>
        <v>0</v>
      </c>
      <c r="AW78" s="542">
        <f t="shared" si="79"/>
        <v>0</v>
      </c>
      <c r="AX78" s="542">
        <f t="shared" si="79"/>
        <v>0</v>
      </c>
      <c r="AY78" s="542">
        <f t="shared" si="79"/>
        <v>0</v>
      </c>
      <c r="AZ78" s="542">
        <f t="shared" si="79"/>
        <v>0</v>
      </c>
      <c r="BA78" s="542">
        <f t="shared" si="79"/>
        <v>0</v>
      </c>
      <c r="BB78" s="542">
        <f t="shared" si="79"/>
        <v>0</v>
      </c>
      <c r="BC78" s="542">
        <f t="shared" si="79"/>
        <v>0</v>
      </c>
    </row>
    <row r="79" spans="2:55" x14ac:dyDescent="0.35">
      <c r="B79" s="508" t="str">
        <f t="shared" si="72"/>
        <v>Draff 4</v>
      </c>
      <c r="C79" s="542">
        <f t="shared" si="77"/>
        <v>0</v>
      </c>
      <c r="D79" s="542">
        <f t="shared" si="77"/>
        <v>0</v>
      </c>
      <c r="E79" s="542">
        <f t="shared" si="77"/>
        <v>0</v>
      </c>
      <c r="F79" s="542">
        <f t="shared" si="77"/>
        <v>0</v>
      </c>
      <c r="G79" s="542">
        <f t="shared" si="77"/>
        <v>0</v>
      </c>
      <c r="H79" s="542">
        <f t="shared" si="77"/>
        <v>0</v>
      </c>
      <c r="I79" s="542">
        <f t="shared" si="77"/>
        <v>0</v>
      </c>
      <c r="J79" s="542">
        <f t="shared" si="77"/>
        <v>0</v>
      </c>
      <c r="K79" s="542">
        <f t="shared" si="77"/>
        <v>0</v>
      </c>
      <c r="L79" s="542">
        <f t="shared" si="77"/>
        <v>0</v>
      </c>
      <c r="M79" s="542">
        <f t="shared" si="77"/>
        <v>0</v>
      </c>
      <c r="N79" s="542">
        <f t="shared" si="77"/>
        <v>0</v>
      </c>
      <c r="O79" s="542">
        <f t="shared" si="77"/>
        <v>0</v>
      </c>
      <c r="P79" s="542">
        <f t="shared" si="77"/>
        <v>0</v>
      </c>
      <c r="Q79" s="542">
        <f t="shared" si="77"/>
        <v>5527.2110669798831</v>
      </c>
      <c r="R79" s="543">
        <f t="shared" ref="R79:BC79" si="80">R39*$BF$43</f>
        <v>0</v>
      </c>
      <c r="S79" s="543">
        <f t="shared" si="80"/>
        <v>0</v>
      </c>
      <c r="T79" s="543">
        <f t="shared" si="80"/>
        <v>0</v>
      </c>
      <c r="U79" s="543">
        <f t="shared" si="80"/>
        <v>0</v>
      </c>
      <c r="V79" s="543">
        <f t="shared" si="80"/>
        <v>0</v>
      </c>
      <c r="W79" s="543">
        <f t="shared" si="80"/>
        <v>0</v>
      </c>
      <c r="X79" s="543">
        <f t="shared" si="80"/>
        <v>0</v>
      </c>
      <c r="Y79" s="543">
        <f t="shared" si="80"/>
        <v>0</v>
      </c>
      <c r="Z79" s="543">
        <f t="shared" si="80"/>
        <v>0</v>
      </c>
      <c r="AA79" s="543">
        <f t="shared" si="80"/>
        <v>0</v>
      </c>
      <c r="AB79" s="543">
        <f t="shared" si="80"/>
        <v>0</v>
      </c>
      <c r="AC79" s="543">
        <f t="shared" si="80"/>
        <v>0</v>
      </c>
      <c r="AD79" s="543">
        <f t="shared" si="80"/>
        <v>0</v>
      </c>
      <c r="AE79" s="543">
        <f t="shared" si="80"/>
        <v>0</v>
      </c>
      <c r="AF79" s="543">
        <f t="shared" si="80"/>
        <v>0</v>
      </c>
      <c r="AG79" s="543">
        <f t="shared" si="80"/>
        <v>0</v>
      </c>
      <c r="AH79" s="543">
        <f t="shared" si="80"/>
        <v>0</v>
      </c>
      <c r="AI79" s="543">
        <f t="shared" si="80"/>
        <v>0</v>
      </c>
      <c r="AJ79" s="543">
        <f t="shared" si="80"/>
        <v>0</v>
      </c>
      <c r="AK79" s="543">
        <f t="shared" si="80"/>
        <v>0</v>
      </c>
      <c r="AL79" s="543">
        <f t="shared" si="80"/>
        <v>0</v>
      </c>
      <c r="AM79" s="543">
        <f t="shared" si="80"/>
        <v>0</v>
      </c>
      <c r="AN79" s="543">
        <f t="shared" si="80"/>
        <v>0</v>
      </c>
      <c r="AO79" s="543">
        <f t="shared" si="80"/>
        <v>0</v>
      </c>
      <c r="AP79" s="543">
        <f t="shared" si="80"/>
        <v>0</v>
      </c>
      <c r="AQ79" s="543">
        <f t="shared" si="80"/>
        <v>0</v>
      </c>
      <c r="AR79" s="543">
        <f t="shared" si="80"/>
        <v>0</v>
      </c>
      <c r="AS79" s="543">
        <f t="shared" si="80"/>
        <v>0</v>
      </c>
      <c r="AT79" s="543">
        <f t="shared" si="80"/>
        <v>0</v>
      </c>
      <c r="AU79" s="543">
        <f t="shared" si="80"/>
        <v>0</v>
      </c>
      <c r="AV79" s="543">
        <f t="shared" si="80"/>
        <v>0</v>
      </c>
      <c r="AW79" s="543">
        <f t="shared" si="80"/>
        <v>0</v>
      </c>
      <c r="AX79" s="543">
        <f t="shared" si="80"/>
        <v>0</v>
      </c>
      <c r="AY79" s="543">
        <f t="shared" si="80"/>
        <v>0</v>
      </c>
      <c r="AZ79" s="543">
        <f t="shared" si="80"/>
        <v>0</v>
      </c>
      <c r="BA79" s="543">
        <f t="shared" si="80"/>
        <v>0</v>
      </c>
      <c r="BB79" s="543">
        <f t="shared" si="80"/>
        <v>0</v>
      </c>
      <c r="BC79" s="543">
        <f t="shared" si="80"/>
        <v>0</v>
      </c>
    </row>
    <row r="80" spans="2:55" x14ac:dyDescent="0.35">
      <c r="B80" s="508" t="str">
        <f t="shared" si="72"/>
        <v>Pot Ale Syrup</v>
      </c>
      <c r="C80" s="547">
        <f>C40*$BF$43</f>
        <v>286.28510360738346</v>
      </c>
      <c r="D80" s="547">
        <f t="shared" ref="D80:Q80" si="81">D40*$BF$43</f>
        <v>0</v>
      </c>
      <c r="E80" s="547">
        <f t="shared" si="81"/>
        <v>0</v>
      </c>
      <c r="F80" s="547">
        <f t="shared" si="81"/>
        <v>0</v>
      </c>
      <c r="G80" s="547">
        <f t="shared" si="81"/>
        <v>0</v>
      </c>
      <c r="H80" s="547">
        <f t="shared" si="81"/>
        <v>1717.7106216443005</v>
      </c>
      <c r="I80" s="547">
        <f t="shared" si="81"/>
        <v>0</v>
      </c>
      <c r="J80" s="547">
        <f t="shared" si="81"/>
        <v>0</v>
      </c>
      <c r="K80" s="547">
        <f t="shared" si="81"/>
        <v>0</v>
      </c>
      <c r="L80" s="547">
        <f t="shared" si="81"/>
        <v>0</v>
      </c>
      <c r="M80" s="547">
        <f t="shared" si="81"/>
        <v>3149.1361396812176</v>
      </c>
      <c r="N80" s="547">
        <f t="shared" si="81"/>
        <v>0</v>
      </c>
      <c r="O80" s="547">
        <f t="shared" si="81"/>
        <v>0</v>
      </c>
      <c r="P80" s="547">
        <f t="shared" si="81"/>
        <v>0</v>
      </c>
      <c r="Q80" s="547">
        <f t="shared" si="81"/>
        <v>4294.2765541107519</v>
      </c>
      <c r="R80" s="547">
        <f t="shared" ref="R80:BC80" si="82">R40*$BF$43</f>
        <v>0</v>
      </c>
      <c r="S80" s="547">
        <f t="shared" si="82"/>
        <v>0</v>
      </c>
      <c r="T80" s="547">
        <f t="shared" si="82"/>
        <v>0</v>
      </c>
      <c r="U80" s="547">
        <f t="shared" si="82"/>
        <v>0</v>
      </c>
      <c r="V80" s="547">
        <f t="shared" si="82"/>
        <v>0</v>
      </c>
      <c r="W80" s="547">
        <f t="shared" si="82"/>
        <v>0</v>
      </c>
      <c r="X80" s="547">
        <f t="shared" si="82"/>
        <v>0</v>
      </c>
      <c r="Y80" s="547">
        <f t="shared" si="82"/>
        <v>0</v>
      </c>
      <c r="Z80" s="547">
        <f t="shared" si="82"/>
        <v>0</v>
      </c>
      <c r="AA80" s="547">
        <f t="shared" si="82"/>
        <v>0</v>
      </c>
      <c r="AB80" s="547">
        <f t="shared" si="82"/>
        <v>0</v>
      </c>
      <c r="AC80" s="547">
        <f t="shared" si="82"/>
        <v>0</v>
      </c>
      <c r="AD80" s="547">
        <f t="shared" si="82"/>
        <v>0</v>
      </c>
      <c r="AE80" s="547">
        <f t="shared" si="82"/>
        <v>0</v>
      </c>
      <c r="AF80" s="547">
        <f t="shared" si="82"/>
        <v>0</v>
      </c>
      <c r="AG80" s="547">
        <f t="shared" si="82"/>
        <v>0</v>
      </c>
      <c r="AH80" s="547">
        <f t="shared" si="82"/>
        <v>0</v>
      </c>
      <c r="AI80" s="547">
        <f t="shared" si="82"/>
        <v>0</v>
      </c>
      <c r="AJ80" s="547">
        <f t="shared" si="82"/>
        <v>0</v>
      </c>
      <c r="AK80" s="547">
        <f t="shared" si="82"/>
        <v>0</v>
      </c>
      <c r="AL80" s="547">
        <f t="shared" si="82"/>
        <v>0</v>
      </c>
      <c r="AM80" s="547">
        <f t="shared" si="82"/>
        <v>0</v>
      </c>
      <c r="AN80" s="547">
        <f t="shared" si="82"/>
        <v>0</v>
      </c>
      <c r="AO80" s="547">
        <f t="shared" si="82"/>
        <v>0</v>
      </c>
      <c r="AP80" s="547">
        <f t="shared" si="82"/>
        <v>0</v>
      </c>
      <c r="AQ80" s="547">
        <f t="shared" si="82"/>
        <v>0</v>
      </c>
      <c r="AR80" s="547">
        <f t="shared" si="82"/>
        <v>0</v>
      </c>
      <c r="AS80" s="547">
        <f t="shared" si="82"/>
        <v>0</v>
      </c>
      <c r="AT80" s="547">
        <f t="shared" si="82"/>
        <v>0</v>
      </c>
      <c r="AU80" s="547">
        <f t="shared" si="82"/>
        <v>0</v>
      </c>
      <c r="AV80" s="547">
        <f t="shared" si="82"/>
        <v>0</v>
      </c>
      <c r="AW80" s="547">
        <f t="shared" si="82"/>
        <v>0</v>
      </c>
      <c r="AX80" s="547">
        <f t="shared" si="82"/>
        <v>0</v>
      </c>
      <c r="AY80" s="547">
        <f t="shared" si="82"/>
        <v>0</v>
      </c>
      <c r="AZ80" s="547">
        <f t="shared" si="82"/>
        <v>0</v>
      </c>
      <c r="BA80" s="547">
        <f t="shared" si="82"/>
        <v>0</v>
      </c>
      <c r="BB80" s="547">
        <f t="shared" si="82"/>
        <v>0</v>
      </c>
      <c r="BC80" s="547">
        <f t="shared" si="82"/>
        <v>0</v>
      </c>
    </row>
    <row r="81" spans="2:55" x14ac:dyDescent="0.35">
      <c r="C81" s="546"/>
      <c r="D81" s="546"/>
      <c r="E81" s="546"/>
      <c r="F81" s="546"/>
      <c r="G81" s="546"/>
      <c r="H81" s="546"/>
      <c r="I81" s="546"/>
      <c r="J81" s="546"/>
      <c r="K81" s="546"/>
      <c r="L81" s="546"/>
      <c r="M81" s="546"/>
      <c r="N81" s="546"/>
      <c r="O81" s="546"/>
      <c r="P81" s="546"/>
      <c r="Q81" s="546"/>
      <c r="R81" s="546"/>
      <c r="S81" s="546"/>
      <c r="T81" s="546"/>
      <c r="U81" s="546"/>
      <c r="V81" s="546"/>
      <c r="W81" s="546"/>
      <c r="X81" s="546"/>
      <c r="Y81" s="546"/>
      <c r="Z81" s="546"/>
      <c r="AA81" s="546"/>
      <c r="AB81" s="546"/>
      <c r="AC81" s="546"/>
      <c r="AD81" s="546"/>
      <c r="AE81" s="546"/>
      <c r="AF81" s="546"/>
      <c r="AG81" s="546"/>
      <c r="AH81" s="546"/>
      <c r="AI81" s="546"/>
      <c r="AJ81" s="546"/>
      <c r="AK81" s="546"/>
      <c r="AL81" s="546"/>
      <c r="AM81" s="546"/>
      <c r="AN81" s="546"/>
      <c r="AO81" s="546"/>
      <c r="AP81" s="546"/>
      <c r="AQ81" s="546"/>
      <c r="AR81" s="546"/>
      <c r="AS81" s="546"/>
      <c r="AT81" s="546"/>
      <c r="AU81" s="546"/>
      <c r="AV81" s="546"/>
      <c r="AW81" s="546"/>
      <c r="AX81" s="546"/>
      <c r="AY81" s="546"/>
      <c r="AZ81" s="546"/>
      <c r="BA81" s="546"/>
      <c r="BB81" s="546"/>
      <c r="BC81" s="546"/>
    </row>
    <row r="82" spans="2:55" x14ac:dyDescent="0.35">
      <c r="B82" s="507" t="s">
        <v>722</v>
      </c>
      <c r="C82" s="546"/>
      <c r="D82" s="546"/>
      <c r="E82" s="546"/>
      <c r="F82" s="546"/>
      <c r="G82" s="546"/>
      <c r="H82" s="546"/>
      <c r="I82" s="546"/>
      <c r="J82" s="546"/>
      <c r="K82" s="546"/>
      <c r="L82" s="546"/>
      <c r="M82" s="546"/>
      <c r="N82" s="546"/>
      <c r="O82" s="546"/>
      <c r="P82" s="546"/>
      <c r="Q82" s="546"/>
      <c r="R82" s="546"/>
      <c r="S82" s="546"/>
      <c r="T82" s="546"/>
      <c r="U82" s="546"/>
      <c r="V82" s="546"/>
      <c r="W82" s="546"/>
      <c r="X82" s="546"/>
      <c r="Y82" s="546"/>
      <c r="Z82" s="546"/>
      <c r="AA82" s="546"/>
      <c r="AB82" s="546"/>
      <c r="AC82" s="546"/>
      <c r="AD82" s="546"/>
      <c r="AE82" s="546"/>
      <c r="AF82" s="546"/>
      <c r="AG82" s="546"/>
      <c r="AH82" s="546"/>
      <c r="AI82" s="546"/>
      <c r="AJ82" s="546"/>
      <c r="AK82" s="546"/>
      <c r="AL82" s="546"/>
      <c r="AM82" s="546"/>
      <c r="AN82" s="546"/>
      <c r="AO82" s="546"/>
      <c r="AP82" s="546"/>
      <c r="AQ82" s="546"/>
      <c r="AR82" s="546"/>
      <c r="AS82" s="546"/>
      <c r="AT82" s="546"/>
      <c r="AU82" s="546"/>
      <c r="AV82" s="546"/>
      <c r="AW82" s="546"/>
      <c r="AX82" s="546"/>
      <c r="AY82" s="546"/>
      <c r="AZ82" s="546"/>
      <c r="BA82" s="546"/>
      <c r="BB82" s="546"/>
      <c r="BC82" s="546"/>
    </row>
    <row r="83" spans="2:55" x14ac:dyDescent="0.35">
      <c r="B83" s="508" t="str">
        <f>B6</f>
        <v>Rye Silage</v>
      </c>
      <c r="C83" s="542">
        <f>C43*(($BF$45*$BM$7)+($BF$46*$BO$7))</f>
        <v>64.419581029798806</v>
      </c>
      <c r="D83" s="542">
        <f t="shared" ref="D83:Q83" si="83">D43*(($BF$45*$BM$7)+($BF$46*$BO$7))</f>
        <v>128.83916205959761</v>
      </c>
      <c r="E83" s="542">
        <f t="shared" si="83"/>
        <v>193.25874308939646</v>
      </c>
      <c r="F83" s="542">
        <f t="shared" si="83"/>
        <v>257.67832411919522</v>
      </c>
      <c r="G83" s="542">
        <f t="shared" si="83"/>
        <v>322.09790514899407</v>
      </c>
      <c r="H83" s="542">
        <f t="shared" si="83"/>
        <v>386.51748617879292</v>
      </c>
      <c r="I83" s="542">
        <f t="shared" si="83"/>
        <v>450.93706720859166</v>
      </c>
      <c r="J83" s="542">
        <f t="shared" si="83"/>
        <v>515.35664823839045</v>
      </c>
      <c r="K83" s="542">
        <f t="shared" si="83"/>
        <v>579.77622926818935</v>
      </c>
      <c r="L83" s="542">
        <f t="shared" si="83"/>
        <v>644.19581029798815</v>
      </c>
      <c r="M83" s="542">
        <f t="shared" si="83"/>
        <v>0</v>
      </c>
      <c r="N83" s="542">
        <f t="shared" si="83"/>
        <v>0</v>
      </c>
      <c r="O83" s="542">
        <f t="shared" si="83"/>
        <v>0</v>
      </c>
      <c r="P83" s="542">
        <f t="shared" si="83"/>
        <v>0</v>
      </c>
      <c r="Q83" s="542">
        <f t="shared" si="83"/>
        <v>0</v>
      </c>
      <c r="R83" s="542">
        <f t="shared" ref="R83:BC83" si="84">R43*(($BF$45*$BM$7)+($BF$46*$BO$7))</f>
        <v>0</v>
      </c>
      <c r="S83" s="542">
        <f t="shared" si="84"/>
        <v>0</v>
      </c>
      <c r="T83" s="542">
        <f t="shared" si="84"/>
        <v>0</v>
      </c>
      <c r="U83" s="542">
        <f t="shared" si="84"/>
        <v>0</v>
      </c>
      <c r="V83" s="542">
        <f t="shared" si="84"/>
        <v>0</v>
      </c>
      <c r="W83" s="542">
        <f t="shared" si="84"/>
        <v>0</v>
      </c>
      <c r="X83" s="542">
        <f t="shared" si="84"/>
        <v>0</v>
      </c>
      <c r="Y83" s="542">
        <f t="shared" si="84"/>
        <v>0</v>
      </c>
      <c r="Z83" s="542">
        <f t="shared" si="84"/>
        <v>0</v>
      </c>
      <c r="AA83" s="542">
        <f t="shared" si="84"/>
        <v>0</v>
      </c>
      <c r="AB83" s="542">
        <f t="shared" si="84"/>
        <v>0</v>
      </c>
      <c r="AC83" s="542">
        <f t="shared" si="84"/>
        <v>0</v>
      </c>
      <c r="AD83" s="542">
        <f t="shared" si="84"/>
        <v>0</v>
      </c>
      <c r="AE83" s="542">
        <f t="shared" si="84"/>
        <v>0</v>
      </c>
      <c r="AF83" s="542">
        <f t="shared" si="84"/>
        <v>0</v>
      </c>
      <c r="AG83" s="542">
        <f t="shared" si="84"/>
        <v>0</v>
      </c>
      <c r="AH83" s="542">
        <f t="shared" si="84"/>
        <v>0</v>
      </c>
      <c r="AI83" s="542">
        <f t="shared" si="84"/>
        <v>0</v>
      </c>
      <c r="AJ83" s="542">
        <f t="shared" si="84"/>
        <v>0</v>
      </c>
      <c r="AK83" s="542">
        <f t="shared" si="84"/>
        <v>0</v>
      </c>
      <c r="AL83" s="542">
        <f t="shared" si="84"/>
        <v>0</v>
      </c>
      <c r="AM83" s="542">
        <f t="shared" si="84"/>
        <v>0</v>
      </c>
      <c r="AN83" s="542">
        <f t="shared" si="84"/>
        <v>0</v>
      </c>
      <c r="AO83" s="542">
        <f t="shared" si="84"/>
        <v>0</v>
      </c>
      <c r="AP83" s="542">
        <f t="shared" si="84"/>
        <v>0</v>
      </c>
      <c r="AQ83" s="542">
        <f t="shared" si="84"/>
        <v>0</v>
      </c>
      <c r="AR83" s="542">
        <f t="shared" si="84"/>
        <v>0</v>
      </c>
      <c r="AS83" s="542">
        <f t="shared" si="84"/>
        <v>0</v>
      </c>
      <c r="AT83" s="542">
        <f t="shared" si="84"/>
        <v>0</v>
      </c>
      <c r="AU83" s="542">
        <f t="shared" si="84"/>
        <v>0</v>
      </c>
      <c r="AV83" s="542">
        <f t="shared" si="84"/>
        <v>0</v>
      </c>
      <c r="AW83" s="542">
        <f t="shared" si="84"/>
        <v>0</v>
      </c>
      <c r="AX83" s="542">
        <f t="shared" si="84"/>
        <v>0</v>
      </c>
      <c r="AY83" s="542">
        <f t="shared" si="84"/>
        <v>0</v>
      </c>
      <c r="AZ83" s="542">
        <f t="shared" si="84"/>
        <v>0</v>
      </c>
      <c r="BA83" s="542">
        <f t="shared" si="84"/>
        <v>0</v>
      </c>
      <c r="BB83" s="542">
        <f t="shared" si="84"/>
        <v>0</v>
      </c>
      <c r="BC83" s="542">
        <f t="shared" si="84"/>
        <v>0</v>
      </c>
    </row>
    <row r="84" spans="2:55" x14ac:dyDescent="0.35">
      <c r="B84" s="508" t="str">
        <f t="shared" ref="B84:B89" si="85">B7</f>
        <v>Straw</v>
      </c>
      <c r="C84" s="543">
        <f>C44*(($BF$45*$BM$19)+($BF$46*$BO$19))</f>
        <v>0</v>
      </c>
      <c r="D84" s="543">
        <f t="shared" ref="D84:Q84" si="86">D44*(($BF$45*$BM$19)+($BF$46*$BO$19))</f>
        <v>0</v>
      </c>
      <c r="E84" s="543">
        <f t="shared" si="86"/>
        <v>0</v>
      </c>
      <c r="F84" s="543">
        <f t="shared" si="86"/>
        <v>0</v>
      </c>
      <c r="G84" s="543">
        <f t="shared" si="86"/>
        <v>0</v>
      </c>
      <c r="H84" s="543">
        <f t="shared" si="86"/>
        <v>0</v>
      </c>
      <c r="I84" s="543">
        <f t="shared" si="86"/>
        <v>0</v>
      </c>
      <c r="J84" s="543">
        <f t="shared" si="86"/>
        <v>0</v>
      </c>
      <c r="K84" s="543">
        <f t="shared" si="86"/>
        <v>0</v>
      </c>
      <c r="L84" s="543">
        <f t="shared" si="86"/>
        <v>0</v>
      </c>
      <c r="M84" s="543">
        <f t="shared" si="86"/>
        <v>0</v>
      </c>
      <c r="N84" s="543">
        <f t="shared" si="86"/>
        <v>0</v>
      </c>
      <c r="O84" s="543">
        <f t="shared" si="86"/>
        <v>0</v>
      </c>
      <c r="P84" s="543">
        <f t="shared" si="86"/>
        <v>0</v>
      </c>
      <c r="Q84" s="543">
        <f t="shared" si="86"/>
        <v>0</v>
      </c>
      <c r="R84" s="543" t="e">
        <f t="shared" ref="R84:BC84" si="87">R44*(($BF$45*$BM$10)+($BF$46*$BO$10))</f>
        <v>#DIV/0!</v>
      </c>
      <c r="S84" s="543" t="e">
        <f t="shared" si="87"/>
        <v>#DIV/0!</v>
      </c>
      <c r="T84" s="543" t="e">
        <f t="shared" si="87"/>
        <v>#DIV/0!</v>
      </c>
      <c r="U84" s="543" t="e">
        <f t="shared" si="87"/>
        <v>#DIV/0!</v>
      </c>
      <c r="V84" s="543" t="e">
        <f t="shared" si="87"/>
        <v>#DIV/0!</v>
      </c>
      <c r="W84" s="543" t="e">
        <f t="shared" si="87"/>
        <v>#DIV/0!</v>
      </c>
      <c r="X84" s="543" t="e">
        <f t="shared" si="87"/>
        <v>#DIV/0!</v>
      </c>
      <c r="Y84" s="543" t="e">
        <f t="shared" si="87"/>
        <v>#DIV/0!</v>
      </c>
      <c r="Z84" s="543" t="e">
        <f t="shared" si="87"/>
        <v>#DIV/0!</v>
      </c>
      <c r="AA84" s="543" t="e">
        <f t="shared" si="87"/>
        <v>#DIV/0!</v>
      </c>
      <c r="AB84" s="543" t="e">
        <f t="shared" si="87"/>
        <v>#DIV/0!</v>
      </c>
      <c r="AC84" s="543" t="e">
        <f t="shared" si="87"/>
        <v>#DIV/0!</v>
      </c>
      <c r="AD84" s="543" t="e">
        <f t="shared" si="87"/>
        <v>#DIV/0!</v>
      </c>
      <c r="AE84" s="543" t="e">
        <f t="shared" si="87"/>
        <v>#DIV/0!</v>
      </c>
      <c r="AF84" s="543" t="e">
        <f t="shared" si="87"/>
        <v>#DIV/0!</v>
      </c>
      <c r="AG84" s="543" t="e">
        <f t="shared" si="87"/>
        <v>#DIV/0!</v>
      </c>
      <c r="AH84" s="543" t="e">
        <f t="shared" si="87"/>
        <v>#DIV/0!</v>
      </c>
      <c r="AI84" s="543" t="e">
        <f t="shared" si="87"/>
        <v>#DIV/0!</v>
      </c>
      <c r="AJ84" s="543" t="e">
        <f t="shared" si="87"/>
        <v>#DIV/0!</v>
      </c>
      <c r="AK84" s="543" t="e">
        <f t="shared" si="87"/>
        <v>#DIV/0!</v>
      </c>
      <c r="AL84" s="543" t="e">
        <f t="shared" si="87"/>
        <v>#DIV/0!</v>
      </c>
      <c r="AM84" s="543" t="e">
        <f t="shared" si="87"/>
        <v>#DIV/0!</v>
      </c>
      <c r="AN84" s="543" t="e">
        <f t="shared" si="87"/>
        <v>#DIV/0!</v>
      </c>
      <c r="AO84" s="543" t="e">
        <f t="shared" si="87"/>
        <v>#DIV/0!</v>
      </c>
      <c r="AP84" s="543" t="e">
        <f t="shared" si="87"/>
        <v>#DIV/0!</v>
      </c>
      <c r="AQ84" s="543" t="e">
        <f t="shared" si="87"/>
        <v>#DIV/0!</v>
      </c>
      <c r="AR84" s="543" t="e">
        <f t="shared" si="87"/>
        <v>#DIV/0!</v>
      </c>
      <c r="AS84" s="543" t="e">
        <f t="shared" si="87"/>
        <v>#DIV/0!</v>
      </c>
      <c r="AT84" s="543" t="e">
        <f t="shared" si="87"/>
        <v>#DIV/0!</v>
      </c>
      <c r="AU84" s="543" t="e">
        <f t="shared" si="87"/>
        <v>#DIV/0!</v>
      </c>
      <c r="AV84" s="543" t="e">
        <f t="shared" si="87"/>
        <v>#DIV/0!</v>
      </c>
      <c r="AW84" s="543" t="e">
        <f t="shared" si="87"/>
        <v>#DIV/0!</v>
      </c>
      <c r="AX84" s="543" t="e">
        <f t="shared" si="87"/>
        <v>#DIV/0!</v>
      </c>
      <c r="AY84" s="543" t="e">
        <f t="shared" si="87"/>
        <v>#DIV/0!</v>
      </c>
      <c r="AZ84" s="543" t="e">
        <f t="shared" si="87"/>
        <v>#DIV/0!</v>
      </c>
      <c r="BA84" s="543" t="e">
        <f t="shared" si="87"/>
        <v>#DIV/0!</v>
      </c>
      <c r="BB84" s="543" t="e">
        <f t="shared" si="87"/>
        <v>#DIV/0!</v>
      </c>
      <c r="BC84" s="543" t="e">
        <f t="shared" si="87"/>
        <v>#DIV/0!</v>
      </c>
    </row>
    <row r="85" spans="2:55" x14ac:dyDescent="0.35">
      <c r="B85" s="508" t="str">
        <f t="shared" si="85"/>
        <v>Draff 1</v>
      </c>
      <c r="C85" s="542">
        <f>C45*(($BF$45*$BM$17)+($BF$46*$BO$17))</f>
        <v>501.57566532943366</v>
      </c>
      <c r="D85" s="542">
        <f t="shared" ref="D85:Q85" si="88">D45*(($BF$45*$BM$17)+($BF$46*$BO$17))</f>
        <v>0</v>
      </c>
      <c r="E85" s="542">
        <f t="shared" si="88"/>
        <v>0</v>
      </c>
      <c r="F85" s="542">
        <f t="shared" si="88"/>
        <v>0</v>
      </c>
      <c r="G85" s="542">
        <f t="shared" si="88"/>
        <v>0</v>
      </c>
      <c r="H85" s="542">
        <f t="shared" si="88"/>
        <v>0</v>
      </c>
      <c r="I85" s="542">
        <f t="shared" si="88"/>
        <v>0</v>
      </c>
      <c r="J85" s="542">
        <f t="shared" si="88"/>
        <v>0</v>
      </c>
      <c r="K85" s="542">
        <f t="shared" si="88"/>
        <v>0</v>
      </c>
      <c r="L85" s="542">
        <f t="shared" si="88"/>
        <v>0</v>
      </c>
      <c r="M85" s="542">
        <f t="shared" si="88"/>
        <v>0</v>
      </c>
      <c r="N85" s="542">
        <f t="shared" si="88"/>
        <v>0</v>
      </c>
      <c r="O85" s="542">
        <f t="shared" si="88"/>
        <v>0</v>
      </c>
      <c r="P85" s="542">
        <f t="shared" si="88"/>
        <v>0</v>
      </c>
      <c r="Q85" s="542">
        <f t="shared" si="88"/>
        <v>0</v>
      </c>
      <c r="R85" s="542">
        <f t="shared" ref="R85:BC85" si="89">R45*(($BF$45*$BM$17)+($BF$46*$BO$17))</f>
        <v>0</v>
      </c>
      <c r="S85" s="542">
        <f t="shared" si="89"/>
        <v>0</v>
      </c>
      <c r="T85" s="542">
        <f t="shared" si="89"/>
        <v>0</v>
      </c>
      <c r="U85" s="542">
        <f t="shared" si="89"/>
        <v>0</v>
      </c>
      <c r="V85" s="542">
        <f t="shared" si="89"/>
        <v>0</v>
      </c>
      <c r="W85" s="542">
        <f t="shared" si="89"/>
        <v>0</v>
      </c>
      <c r="X85" s="542">
        <f t="shared" si="89"/>
        <v>0</v>
      </c>
      <c r="Y85" s="542">
        <f t="shared" si="89"/>
        <v>0</v>
      </c>
      <c r="Z85" s="542">
        <f t="shared" si="89"/>
        <v>0</v>
      </c>
      <c r="AA85" s="542">
        <f t="shared" si="89"/>
        <v>0</v>
      </c>
      <c r="AB85" s="542">
        <f t="shared" si="89"/>
        <v>0</v>
      </c>
      <c r="AC85" s="542">
        <f t="shared" si="89"/>
        <v>0</v>
      </c>
      <c r="AD85" s="542">
        <f t="shared" si="89"/>
        <v>0</v>
      </c>
      <c r="AE85" s="542">
        <f t="shared" si="89"/>
        <v>0</v>
      </c>
      <c r="AF85" s="542">
        <f t="shared" si="89"/>
        <v>0</v>
      </c>
      <c r="AG85" s="542">
        <f t="shared" si="89"/>
        <v>0</v>
      </c>
      <c r="AH85" s="542">
        <f t="shared" si="89"/>
        <v>0</v>
      </c>
      <c r="AI85" s="542">
        <f t="shared" si="89"/>
        <v>0</v>
      </c>
      <c r="AJ85" s="542">
        <f t="shared" si="89"/>
        <v>0</v>
      </c>
      <c r="AK85" s="542">
        <f t="shared" si="89"/>
        <v>0</v>
      </c>
      <c r="AL85" s="542">
        <f t="shared" si="89"/>
        <v>0</v>
      </c>
      <c r="AM85" s="542">
        <f t="shared" si="89"/>
        <v>0</v>
      </c>
      <c r="AN85" s="542">
        <f t="shared" si="89"/>
        <v>0</v>
      </c>
      <c r="AO85" s="542">
        <f t="shared" si="89"/>
        <v>0</v>
      </c>
      <c r="AP85" s="542">
        <f t="shared" si="89"/>
        <v>0</v>
      </c>
      <c r="AQ85" s="542">
        <f t="shared" si="89"/>
        <v>0</v>
      </c>
      <c r="AR85" s="542">
        <f t="shared" si="89"/>
        <v>0</v>
      </c>
      <c r="AS85" s="542">
        <f t="shared" si="89"/>
        <v>0</v>
      </c>
      <c r="AT85" s="542">
        <f t="shared" si="89"/>
        <v>0</v>
      </c>
      <c r="AU85" s="542">
        <f t="shared" si="89"/>
        <v>0</v>
      </c>
      <c r="AV85" s="542">
        <f t="shared" si="89"/>
        <v>0</v>
      </c>
      <c r="AW85" s="542">
        <f t="shared" si="89"/>
        <v>0</v>
      </c>
      <c r="AX85" s="542">
        <f t="shared" si="89"/>
        <v>0</v>
      </c>
      <c r="AY85" s="542">
        <f t="shared" si="89"/>
        <v>0</v>
      </c>
      <c r="AZ85" s="542">
        <f t="shared" si="89"/>
        <v>0</v>
      </c>
      <c r="BA85" s="542">
        <f t="shared" si="89"/>
        <v>0</v>
      </c>
      <c r="BB85" s="542">
        <f t="shared" si="89"/>
        <v>0</v>
      </c>
      <c r="BC85" s="542">
        <f t="shared" si="89"/>
        <v>0</v>
      </c>
    </row>
    <row r="86" spans="2:55" x14ac:dyDescent="0.35">
      <c r="B86" s="508" t="str">
        <f t="shared" si="85"/>
        <v>Draff 2</v>
      </c>
      <c r="C86" s="543">
        <f>C46*$BF$46</f>
        <v>0</v>
      </c>
      <c r="D86" s="543">
        <f t="shared" ref="D86:Q86" si="90">D46*$BF$46</f>
        <v>0</v>
      </c>
      <c r="E86" s="543">
        <f t="shared" si="90"/>
        <v>0</v>
      </c>
      <c r="F86" s="543">
        <f t="shared" si="90"/>
        <v>0</v>
      </c>
      <c r="G86" s="543">
        <f t="shared" si="90"/>
        <v>0</v>
      </c>
      <c r="H86" s="543">
        <f t="shared" si="90"/>
        <v>0</v>
      </c>
      <c r="I86" s="543">
        <f t="shared" si="90"/>
        <v>0</v>
      </c>
      <c r="J86" s="543">
        <f t="shared" si="90"/>
        <v>0</v>
      </c>
      <c r="K86" s="543">
        <f t="shared" si="90"/>
        <v>0</v>
      </c>
      <c r="L86" s="543">
        <f t="shared" si="90"/>
        <v>0</v>
      </c>
      <c r="M86" s="543">
        <f t="shared" si="90"/>
        <v>0</v>
      </c>
      <c r="N86" s="543">
        <f t="shared" si="90"/>
        <v>0</v>
      </c>
      <c r="O86" s="543">
        <f t="shared" si="90"/>
        <v>0</v>
      </c>
      <c r="P86" s="543">
        <f t="shared" si="90"/>
        <v>0</v>
      </c>
      <c r="Q86" s="543">
        <f t="shared" si="90"/>
        <v>0</v>
      </c>
      <c r="R86" s="543">
        <f t="shared" ref="R86:BC86" si="91">R46*$BF$46</f>
        <v>0</v>
      </c>
      <c r="S86" s="543">
        <f t="shared" si="91"/>
        <v>0</v>
      </c>
      <c r="T86" s="543">
        <f t="shared" si="91"/>
        <v>0</v>
      </c>
      <c r="U86" s="543">
        <f t="shared" si="91"/>
        <v>0</v>
      </c>
      <c r="V86" s="543">
        <f t="shared" si="91"/>
        <v>0</v>
      </c>
      <c r="W86" s="543">
        <f t="shared" si="91"/>
        <v>0</v>
      </c>
      <c r="X86" s="543">
        <f t="shared" si="91"/>
        <v>0</v>
      </c>
      <c r="Y86" s="543">
        <f t="shared" si="91"/>
        <v>0</v>
      </c>
      <c r="Z86" s="543">
        <f t="shared" si="91"/>
        <v>0</v>
      </c>
      <c r="AA86" s="543">
        <f t="shared" si="91"/>
        <v>0</v>
      </c>
      <c r="AB86" s="543">
        <f t="shared" si="91"/>
        <v>0</v>
      </c>
      <c r="AC86" s="543">
        <f t="shared" si="91"/>
        <v>0</v>
      </c>
      <c r="AD86" s="543">
        <f t="shared" si="91"/>
        <v>0</v>
      </c>
      <c r="AE86" s="543">
        <f t="shared" si="91"/>
        <v>0</v>
      </c>
      <c r="AF86" s="543">
        <f t="shared" si="91"/>
        <v>0</v>
      </c>
      <c r="AG86" s="543">
        <f t="shared" si="91"/>
        <v>0</v>
      </c>
      <c r="AH86" s="543">
        <f t="shared" si="91"/>
        <v>0</v>
      </c>
      <c r="AI86" s="543">
        <f t="shared" si="91"/>
        <v>0</v>
      </c>
      <c r="AJ86" s="543">
        <f t="shared" si="91"/>
        <v>0</v>
      </c>
      <c r="AK86" s="543">
        <f t="shared" si="91"/>
        <v>0</v>
      </c>
      <c r="AL86" s="543">
        <f t="shared" si="91"/>
        <v>0</v>
      </c>
      <c r="AM86" s="543">
        <f t="shared" si="91"/>
        <v>0</v>
      </c>
      <c r="AN86" s="543">
        <f t="shared" si="91"/>
        <v>0</v>
      </c>
      <c r="AO86" s="543">
        <f t="shared" si="91"/>
        <v>0</v>
      </c>
      <c r="AP86" s="543">
        <f t="shared" si="91"/>
        <v>0</v>
      </c>
      <c r="AQ86" s="543">
        <f t="shared" si="91"/>
        <v>0</v>
      </c>
      <c r="AR86" s="543">
        <f t="shared" si="91"/>
        <v>0</v>
      </c>
      <c r="AS86" s="543">
        <f t="shared" si="91"/>
        <v>0</v>
      </c>
      <c r="AT86" s="543">
        <f t="shared" si="91"/>
        <v>0</v>
      </c>
      <c r="AU86" s="543">
        <f t="shared" si="91"/>
        <v>0</v>
      </c>
      <c r="AV86" s="543">
        <f t="shared" si="91"/>
        <v>0</v>
      </c>
      <c r="AW86" s="543">
        <f t="shared" si="91"/>
        <v>0</v>
      </c>
      <c r="AX86" s="543">
        <f t="shared" si="91"/>
        <v>0</v>
      </c>
      <c r="AY86" s="543">
        <f t="shared" si="91"/>
        <v>0</v>
      </c>
      <c r="AZ86" s="543">
        <f t="shared" si="91"/>
        <v>0</v>
      </c>
      <c r="BA86" s="543">
        <f t="shared" si="91"/>
        <v>0</v>
      </c>
      <c r="BB86" s="543">
        <f t="shared" si="91"/>
        <v>0</v>
      </c>
      <c r="BC86" s="543">
        <f t="shared" si="91"/>
        <v>0</v>
      </c>
    </row>
    <row r="87" spans="2:55" x14ac:dyDescent="0.35">
      <c r="B87" s="508" t="str">
        <f t="shared" si="85"/>
        <v>Draff 3</v>
      </c>
      <c r="C87" s="542">
        <f>C47*$BF$46</f>
        <v>0</v>
      </c>
      <c r="D87" s="542">
        <f t="shared" ref="D87:Q87" si="92">D47*$BF$46</f>
        <v>0</v>
      </c>
      <c r="E87" s="542">
        <f t="shared" si="92"/>
        <v>0</v>
      </c>
      <c r="F87" s="542">
        <f t="shared" si="92"/>
        <v>0</v>
      </c>
      <c r="G87" s="542">
        <f t="shared" si="92"/>
        <v>0</v>
      </c>
      <c r="H87" s="542">
        <f t="shared" si="92"/>
        <v>0</v>
      </c>
      <c r="I87" s="542">
        <f t="shared" si="92"/>
        <v>0</v>
      </c>
      <c r="J87" s="542">
        <f t="shared" si="92"/>
        <v>0</v>
      </c>
      <c r="K87" s="542">
        <f t="shared" si="92"/>
        <v>0</v>
      </c>
      <c r="L87" s="542">
        <f t="shared" si="92"/>
        <v>0</v>
      </c>
      <c r="M87" s="542">
        <f t="shared" si="92"/>
        <v>0</v>
      </c>
      <c r="N87" s="542">
        <f t="shared" si="92"/>
        <v>0</v>
      </c>
      <c r="O87" s="542">
        <f t="shared" si="92"/>
        <v>0</v>
      </c>
      <c r="P87" s="542">
        <f t="shared" si="92"/>
        <v>0</v>
      </c>
      <c r="Q87" s="542">
        <f t="shared" si="92"/>
        <v>0</v>
      </c>
      <c r="R87" s="542">
        <f t="shared" ref="R87:BC87" si="93">R47*$BF$46</f>
        <v>0</v>
      </c>
      <c r="S87" s="542">
        <f t="shared" si="93"/>
        <v>0</v>
      </c>
      <c r="T87" s="542">
        <f t="shared" si="93"/>
        <v>0</v>
      </c>
      <c r="U87" s="542">
        <f t="shared" si="93"/>
        <v>0</v>
      </c>
      <c r="V87" s="542">
        <f t="shared" si="93"/>
        <v>0</v>
      </c>
      <c r="W87" s="542">
        <f t="shared" si="93"/>
        <v>0</v>
      </c>
      <c r="X87" s="542">
        <f t="shared" si="93"/>
        <v>0</v>
      </c>
      <c r="Y87" s="542">
        <f t="shared" si="93"/>
        <v>0</v>
      </c>
      <c r="Z87" s="542">
        <f t="shared" si="93"/>
        <v>0</v>
      </c>
      <c r="AA87" s="542">
        <f t="shared" si="93"/>
        <v>0</v>
      </c>
      <c r="AB87" s="542">
        <f t="shared" si="93"/>
        <v>0</v>
      </c>
      <c r="AC87" s="542">
        <f t="shared" si="93"/>
        <v>0</v>
      </c>
      <c r="AD87" s="542">
        <f t="shared" si="93"/>
        <v>0</v>
      </c>
      <c r="AE87" s="542">
        <f t="shared" si="93"/>
        <v>0</v>
      </c>
      <c r="AF87" s="542">
        <f t="shared" si="93"/>
        <v>0</v>
      </c>
      <c r="AG87" s="542">
        <f t="shared" si="93"/>
        <v>0</v>
      </c>
      <c r="AH87" s="542">
        <f t="shared" si="93"/>
        <v>0</v>
      </c>
      <c r="AI87" s="542">
        <f t="shared" si="93"/>
        <v>0</v>
      </c>
      <c r="AJ87" s="542">
        <f t="shared" si="93"/>
        <v>0</v>
      </c>
      <c r="AK87" s="542">
        <f t="shared" si="93"/>
        <v>0</v>
      </c>
      <c r="AL87" s="542">
        <f t="shared" si="93"/>
        <v>0</v>
      </c>
      <c r="AM87" s="542">
        <f t="shared" si="93"/>
        <v>0</v>
      </c>
      <c r="AN87" s="542">
        <f t="shared" si="93"/>
        <v>0</v>
      </c>
      <c r="AO87" s="542">
        <f t="shared" si="93"/>
        <v>0</v>
      </c>
      <c r="AP87" s="542">
        <f t="shared" si="93"/>
        <v>0</v>
      </c>
      <c r="AQ87" s="542">
        <f t="shared" si="93"/>
        <v>0</v>
      </c>
      <c r="AR87" s="542">
        <f t="shared" si="93"/>
        <v>0</v>
      </c>
      <c r="AS87" s="542">
        <f t="shared" si="93"/>
        <v>0</v>
      </c>
      <c r="AT87" s="542">
        <f t="shared" si="93"/>
        <v>0</v>
      </c>
      <c r="AU87" s="542">
        <f t="shared" si="93"/>
        <v>0</v>
      </c>
      <c r="AV87" s="542">
        <f t="shared" si="93"/>
        <v>0</v>
      </c>
      <c r="AW87" s="542">
        <f t="shared" si="93"/>
        <v>0</v>
      </c>
      <c r="AX87" s="542">
        <f t="shared" si="93"/>
        <v>0</v>
      </c>
      <c r="AY87" s="542">
        <f t="shared" si="93"/>
        <v>0</v>
      </c>
      <c r="AZ87" s="542">
        <f t="shared" si="93"/>
        <v>0</v>
      </c>
      <c r="BA87" s="542">
        <f t="shared" si="93"/>
        <v>0</v>
      </c>
      <c r="BB87" s="542">
        <f t="shared" si="93"/>
        <v>0</v>
      </c>
      <c r="BC87" s="542">
        <f t="shared" si="93"/>
        <v>0</v>
      </c>
    </row>
    <row r="88" spans="2:55" x14ac:dyDescent="0.35">
      <c r="B88" s="508" t="str">
        <f t="shared" si="85"/>
        <v>Draff 4</v>
      </c>
      <c r="C88" s="543">
        <f>C48*$BF$46</f>
        <v>0</v>
      </c>
      <c r="D88" s="543">
        <f t="shared" ref="D88:Q88" si="94">D48*$BF$46</f>
        <v>0</v>
      </c>
      <c r="E88" s="543">
        <f t="shared" si="94"/>
        <v>0</v>
      </c>
      <c r="F88" s="543">
        <f t="shared" si="94"/>
        <v>0</v>
      </c>
      <c r="G88" s="543">
        <f t="shared" si="94"/>
        <v>0</v>
      </c>
      <c r="H88" s="543">
        <f t="shared" si="94"/>
        <v>0</v>
      </c>
      <c r="I88" s="543">
        <f t="shared" si="94"/>
        <v>0</v>
      </c>
      <c r="J88" s="543">
        <f t="shared" si="94"/>
        <v>0</v>
      </c>
      <c r="K88" s="543">
        <f t="shared" si="94"/>
        <v>0</v>
      </c>
      <c r="L88" s="543">
        <f t="shared" si="94"/>
        <v>0</v>
      </c>
      <c r="M88" s="543">
        <f t="shared" si="94"/>
        <v>0</v>
      </c>
      <c r="N88" s="543">
        <f t="shared" si="94"/>
        <v>0</v>
      </c>
      <c r="O88" s="543">
        <f t="shared" si="94"/>
        <v>0</v>
      </c>
      <c r="P88" s="543">
        <f t="shared" si="94"/>
        <v>0</v>
      </c>
      <c r="Q88" s="543">
        <f t="shared" si="94"/>
        <v>0</v>
      </c>
      <c r="R88" s="543">
        <f t="shared" ref="R88:BC88" si="95">R48*$BF$46</f>
        <v>0</v>
      </c>
      <c r="S88" s="543">
        <f t="shared" si="95"/>
        <v>0</v>
      </c>
      <c r="T88" s="543">
        <f t="shared" si="95"/>
        <v>0</v>
      </c>
      <c r="U88" s="543">
        <f t="shared" si="95"/>
        <v>0</v>
      </c>
      <c r="V88" s="543">
        <f t="shared" si="95"/>
        <v>0</v>
      </c>
      <c r="W88" s="543">
        <f t="shared" si="95"/>
        <v>0</v>
      </c>
      <c r="X88" s="543">
        <f t="shared" si="95"/>
        <v>0</v>
      </c>
      <c r="Y88" s="543">
        <f t="shared" si="95"/>
        <v>0</v>
      </c>
      <c r="Z88" s="543">
        <f t="shared" si="95"/>
        <v>0</v>
      </c>
      <c r="AA88" s="543">
        <f t="shared" si="95"/>
        <v>0</v>
      </c>
      <c r="AB88" s="543">
        <f t="shared" si="95"/>
        <v>0</v>
      </c>
      <c r="AC88" s="543">
        <f t="shared" si="95"/>
        <v>0</v>
      </c>
      <c r="AD88" s="543">
        <f t="shared" si="95"/>
        <v>0</v>
      </c>
      <c r="AE88" s="543">
        <f t="shared" si="95"/>
        <v>0</v>
      </c>
      <c r="AF88" s="543">
        <f t="shared" si="95"/>
        <v>0</v>
      </c>
      <c r="AG88" s="543">
        <f t="shared" si="95"/>
        <v>0</v>
      </c>
      <c r="AH88" s="543">
        <f t="shared" si="95"/>
        <v>0</v>
      </c>
      <c r="AI88" s="543">
        <f t="shared" si="95"/>
        <v>0</v>
      </c>
      <c r="AJ88" s="543">
        <f t="shared" si="95"/>
        <v>0</v>
      </c>
      <c r="AK88" s="543">
        <f t="shared" si="95"/>
        <v>0</v>
      </c>
      <c r="AL88" s="543">
        <f t="shared" si="95"/>
        <v>0</v>
      </c>
      <c r="AM88" s="543">
        <f t="shared" si="95"/>
        <v>0</v>
      </c>
      <c r="AN88" s="543">
        <f t="shared" si="95"/>
        <v>0</v>
      </c>
      <c r="AO88" s="543">
        <f t="shared" si="95"/>
        <v>0</v>
      </c>
      <c r="AP88" s="543">
        <f t="shared" si="95"/>
        <v>0</v>
      </c>
      <c r="AQ88" s="543">
        <f t="shared" si="95"/>
        <v>0</v>
      </c>
      <c r="AR88" s="543">
        <f t="shared" si="95"/>
        <v>0</v>
      </c>
      <c r="AS88" s="543">
        <f t="shared" si="95"/>
        <v>0</v>
      </c>
      <c r="AT88" s="543">
        <f t="shared" si="95"/>
        <v>0</v>
      </c>
      <c r="AU88" s="543">
        <f t="shared" si="95"/>
        <v>0</v>
      </c>
      <c r="AV88" s="543">
        <f t="shared" si="95"/>
        <v>0</v>
      </c>
      <c r="AW88" s="543">
        <f t="shared" si="95"/>
        <v>0</v>
      </c>
      <c r="AX88" s="543">
        <f t="shared" si="95"/>
        <v>0</v>
      </c>
      <c r="AY88" s="543">
        <f t="shared" si="95"/>
        <v>0</v>
      </c>
      <c r="AZ88" s="543">
        <f t="shared" si="95"/>
        <v>0</v>
      </c>
      <c r="BA88" s="543">
        <f t="shared" si="95"/>
        <v>0</v>
      </c>
      <c r="BB88" s="543">
        <f t="shared" si="95"/>
        <v>0</v>
      </c>
      <c r="BC88" s="543">
        <f t="shared" si="95"/>
        <v>0</v>
      </c>
    </row>
    <row r="89" spans="2:55" x14ac:dyDescent="0.35">
      <c r="B89" s="508" t="str">
        <f t="shared" si="85"/>
        <v>Pot Ale Syrup</v>
      </c>
      <c r="C89" s="547">
        <f>C49*$BF$46</f>
        <v>0</v>
      </c>
      <c r="D89" s="547">
        <f t="shared" ref="D89:Q89" si="96">D49*$BF$46</f>
        <v>0</v>
      </c>
      <c r="E89" s="547">
        <f t="shared" si="96"/>
        <v>0</v>
      </c>
      <c r="F89" s="547">
        <f t="shared" si="96"/>
        <v>0</v>
      </c>
      <c r="G89" s="547">
        <f t="shared" si="96"/>
        <v>0</v>
      </c>
      <c r="H89" s="547">
        <f t="shared" si="96"/>
        <v>0</v>
      </c>
      <c r="I89" s="547">
        <f t="shared" si="96"/>
        <v>0</v>
      </c>
      <c r="J89" s="547">
        <f t="shared" si="96"/>
        <v>0</v>
      </c>
      <c r="K89" s="547">
        <f t="shared" si="96"/>
        <v>0</v>
      </c>
      <c r="L89" s="547">
        <f t="shared" si="96"/>
        <v>0</v>
      </c>
      <c r="M89" s="547">
        <f t="shared" si="96"/>
        <v>0</v>
      </c>
      <c r="N89" s="547">
        <f t="shared" si="96"/>
        <v>0</v>
      </c>
      <c r="O89" s="547">
        <f t="shared" si="96"/>
        <v>0</v>
      </c>
      <c r="P89" s="547">
        <f t="shared" si="96"/>
        <v>0</v>
      </c>
      <c r="Q89" s="547">
        <f t="shared" si="96"/>
        <v>0</v>
      </c>
      <c r="R89" s="547">
        <f t="shared" ref="R89:BC89" si="97">R49*$BF$46</f>
        <v>0</v>
      </c>
      <c r="S89" s="547">
        <f t="shared" si="97"/>
        <v>0</v>
      </c>
      <c r="T89" s="547">
        <f t="shared" si="97"/>
        <v>0</v>
      </c>
      <c r="U89" s="547">
        <f t="shared" si="97"/>
        <v>0</v>
      </c>
      <c r="V89" s="547">
        <f t="shared" si="97"/>
        <v>0</v>
      </c>
      <c r="W89" s="547">
        <f t="shared" si="97"/>
        <v>0</v>
      </c>
      <c r="X89" s="547">
        <f t="shared" si="97"/>
        <v>0</v>
      </c>
      <c r="Y89" s="547">
        <f t="shared" si="97"/>
        <v>0</v>
      </c>
      <c r="Z89" s="547">
        <f t="shared" si="97"/>
        <v>0</v>
      </c>
      <c r="AA89" s="547">
        <f t="shared" si="97"/>
        <v>0</v>
      </c>
      <c r="AB89" s="547">
        <f t="shared" si="97"/>
        <v>0</v>
      </c>
      <c r="AC89" s="547">
        <f t="shared" si="97"/>
        <v>0</v>
      </c>
      <c r="AD89" s="547">
        <f t="shared" si="97"/>
        <v>0</v>
      </c>
      <c r="AE89" s="547">
        <f t="shared" si="97"/>
        <v>0</v>
      </c>
      <c r="AF89" s="547">
        <f t="shared" si="97"/>
        <v>0</v>
      </c>
      <c r="AG89" s="547">
        <f t="shared" si="97"/>
        <v>0</v>
      </c>
      <c r="AH89" s="547">
        <f t="shared" si="97"/>
        <v>0</v>
      </c>
      <c r="AI89" s="547">
        <f t="shared" si="97"/>
        <v>0</v>
      </c>
      <c r="AJ89" s="547">
        <f t="shared" si="97"/>
        <v>0</v>
      </c>
      <c r="AK89" s="547">
        <f t="shared" si="97"/>
        <v>0</v>
      </c>
      <c r="AL89" s="547">
        <f t="shared" si="97"/>
        <v>0</v>
      </c>
      <c r="AM89" s="547">
        <f t="shared" si="97"/>
        <v>0</v>
      </c>
      <c r="AN89" s="547">
        <f t="shared" si="97"/>
        <v>0</v>
      </c>
      <c r="AO89" s="547">
        <f t="shared" si="97"/>
        <v>0</v>
      </c>
      <c r="AP89" s="547">
        <f t="shared" si="97"/>
        <v>0</v>
      </c>
      <c r="AQ89" s="547">
        <f t="shared" si="97"/>
        <v>0</v>
      </c>
      <c r="AR89" s="547">
        <f t="shared" si="97"/>
        <v>0</v>
      </c>
      <c r="AS89" s="547">
        <f t="shared" si="97"/>
        <v>0</v>
      </c>
      <c r="AT89" s="547">
        <f t="shared" si="97"/>
        <v>0</v>
      </c>
      <c r="AU89" s="547">
        <f t="shared" si="97"/>
        <v>0</v>
      </c>
      <c r="AV89" s="547">
        <f t="shared" si="97"/>
        <v>0</v>
      </c>
      <c r="AW89" s="547">
        <f t="shared" si="97"/>
        <v>0</v>
      </c>
      <c r="AX89" s="547">
        <f t="shared" si="97"/>
        <v>0</v>
      </c>
      <c r="AY89" s="547">
        <f t="shared" si="97"/>
        <v>0</v>
      </c>
      <c r="AZ89" s="547">
        <f t="shared" si="97"/>
        <v>0</v>
      </c>
      <c r="BA89" s="547">
        <f t="shared" si="97"/>
        <v>0</v>
      </c>
      <c r="BB89" s="547">
        <f t="shared" si="97"/>
        <v>0</v>
      </c>
      <c r="BC89" s="547">
        <f t="shared" si="97"/>
        <v>0</v>
      </c>
    </row>
    <row r="91" spans="2:55" x14ac:dyDescent="0.35">
      <c r="B91" s="534" t="s">
        <v>723</v>
      </c>
      <c r="C91" s="552">
        <f>SUM(C54:Q89)</f>
        <v>76597.766055314205</v>
      </c>
    </row>
    <row r="93" spans="2:55" x14ac:dyDescent="0.35">
      <c r="B93" s="486" t="s">
        <v>724</v>
      </c>
    </row>
    <row r="94" spans="2:55" x14ac:dyDescent="0.35">
      <c r="B94" s="508" t="str">
        <f>B6</f>
        <v>Rye Silage</v>
      </c>
      <c r="C94" s="548">
        <f>SUM(C83:BC83,C74:BC74,C63:BC63,C54:BC54)</f>
        <v>13265.158677727544</v>
      </c>
      <c r="F94" s="557">
        <f>C94/'Feed + carbon calculator'!FV3*1000</f>
        <v>0.23464290238690677</v>
      </c>
    </row>
    <row r="95" spans="2:55" x14ac:dyDescent="0.35">
      <c r="B95" s="510" t="str">
        <f t="shared" ref="B95:B100" si="98">B7</f>
        <v>Straw</v>
      </c>
      <c r="C95" s="548">
        <f>SUM(C55:Q55,C64:Q64,C75:Q75,C84:Q84)</f>
        <v>3102.3110407986651</v>
      </c>
      <c r="F95" s="557">
        <f>C95/'Feed + carbon calculator'!FV9*1000</f>
        <v>1.1462862680309178</v>
      </c>
    </row>
    <row r="96" spans="2:55" x14ac:dyDescent="0.35">
      <c r="B96" s="515" t="str">
        <f t="shared" si="98"/>
        <v>Draff 1</v>
      </c>
      <c r="C96" s="548">
        <f>SUM(C85:BC85,C76:BC76,C65:BC65,C56:BC56)</f>
        <v>3918.425572086488</v>
      </c>
      <c r="D96" s="519">
        <f>SUM(C96:C99)</f>
        <v>35181.732311200656</v>
      </c>
      <c r="F96" s="557" t="e">
        <f>D96*1000/'Feed + carbon calculator'!FV14</f>
        <v>#DIV/0!</v>
      </c>
    </row>
    <row r="97" spans="2:8" x14ac:dyDescent="0.35">
      <c r="B97" s="510" t="str">
        <f t="shared" si="98"/>
        <v>Draff 2</v>
      </c>
      <c r="C97" s="548">
        <f t="shared" ref="C97" si="99">SUM(C86:BC86,C77:BC77,C66:BC66,C57:BC57)</f>
        <v>5861.8700135839063</v>
      </c>
    </row>
    <row r="98" spans="2:8" x14ac:dyDescent="0.35">
      <c r="B98" s="515" t="str">
        <f t="shared" si="98"/>
        <v>Draff 3</v>
      </c>
      <c r="C98" s="548">
        <f>SUM(C87:BC87,C78:BC78,C67:BC67,C58:BC58)</f>
        <v>10746.761691570495</v>
      </c>
    </row>
    <row r="99" spans="2:8" x14ac:dyDescent="0.35">
      <c r="B99" s="510" t="str">
        <f t="shared" si="98"/>
        <v>Draff 4</v>
      </c>
      <c r="C99" s="548">
        <f>SUM(C88:BC88,C79:BC79,C68:BC68,C59:BC59)</f>
        <v>14654.675033959767</v>
      </c>
    </row>
    <row r="100" spans="2:8" x14ac:dyDescent="0.35">
      <c r="B100" s="525" t="str">
        <f t="shared" si="98"/>
        <v>Pot Ale Syrup</v>
      </c>
      <c r="C100" s="548">
        <f>SUM(C89:BC89,C80:BC80,C69:BC69,C60:BC60)</f>
        <v>25048.564025587308</v>
      </c>
      <c r="F100" s="557" t="e">
        <f>C100*1000/'Feed + carbon calculator'!FV16</f>
        <v>#DIV/0!</v>
      </c>
      <c r="G100" s="557" t="e">
        <f>((D96+C100)/('Feed + carbon calculator'!FV14+'Feed + carbon calculator'!FV16))*1000</f>
        <v>#DIV/0!</v>
      </c>
      <c r="H100" s="517" t="s">
        <v>768</v>
      </c>
    </row>
    <row r="101" spans="2:8" x14ac:dyDescent="0.35">
      <c r="C101" s="519">
        <f>SUM(C94:C100)</f>
        <v>76597.766055314161</v>
      </c>
      <c r="F101" s="557">
        <f>C101/'Feed + carbon calculator'!FV21*1000</f>
        <v>0.19833801725651456</v>
      </c>
    </row>
    <row r="102" spans="2:8" x14ac:dyDescent="0.35">
      <c r="C102" s="549"/>
    </row>
    <row r="104" spans="2:8" x14ac:dyDescent="0.35">
      <c r="B104" s="508" t="str">
        <f>B6</f>
        <v>Rye Silage</v>
      </c>
    </row>
    <row r="105" spans="2:8" x14ac:dyDescent="0.35">
      <c r="B105" s="508" t="str">
        <f t="shared" ref="B105:B110" si="100">B7</f>
        <v>Straw</v>
      </c>
    </row>
    <row r="106" spans="2:8" x14ac:dyDescent="0.35">
      <c r="B106" s="508" t="str">
        <f t="shared" si="100"/>
        <v>Draff 1</v>
      </c>
    </row>
    <row r="107" spans="2:8" x14ac:dyDescent="0.35">
      <c r="B107" s="508" t="str">
        <f t="shared" si="100"/>
        <v>Draff 2</v>
      </c>
    </row>
    <row r="108" spans="2:8" x14ac:dyDescent="0.35">
      <c r="B108" s="508" t="str">
        <f t="shared" si="100"/>
        <v>Draff 3</v>
      </c>
    </row>
    <row r="109" spans="2:8" x14ac:dyDescent="0.35">
      <c r="B109" s="508" t="str">
        <f t="shared" si="100"/>
        <v>Draff 4</v>
      </c>
    </row>
    <row r="110" spans="2:8" x14ac:dyDescent="0.35">
      <c r="B110" s="508" t="str">
        <f t="shared" si="100"/>
        <v>Pot Ale Syrup</v>
      </c>
    </row>
  </sheetData>
  <pageMargins left="0.7" right="0.7" top="0.75" bottom="0.75" header="0.3" footer="0.3"/>
  <pageSetup paperSize="9" orientation="portrait" horizontalDpi="1200" verticalDpi="1200" r:id="rId1"/>
  <ignoredErrors>
    <ignoredError sqref="C95" 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784B-4798-48E7-9842-19ACEE508666}">
  <sheetPr codeName="Sheet25">
    <tabColor theme="9"/>
  </sheetPr>
  <dimension ref="A1:FT55"/>
  <sheetViews>
    <sheetView workbookViewId="0">
      <selection activeCell="D68" sqref="D68"/>
    </sheetView>
  </sheetViews>
  <sheetFormatPr defaultRowHeight="14.5" x14ac:dyDescent="0.35"/>
  <cols>
    <col min="1" max="1" width="63.54296875" customWidth="1"/>
    <col min="2" max="2" width="11.453125" customWidth="1"/>
    <col min="3" max="3" width="9.453125" customWidth="1"/>
    <col min="4" max="4" width="114.54296875" customWidth="1"/>
  </cols>
  <sheetData>
    <row r="1" spans="1:5" x14ac:dyDescent="0.35">
      <c r="A1" s="51" t="s">
        <v>176</v>
      </c>
      <c r="B1" s="52"/>
      <c r="C1" s="52"/>
      <c r="D1" s="52"/>
    </row>
    <row r="2" spans="1:5" x14ac:dyDescent="0.35">
      <c r="A2" s="52"/>
      <c r="B2" s="53"/>
      <c r="C2" s="52"/>
      <c r="D2" s="54"/>
    </row>
    <row r="3" spans="1:5" x14ac:dyDescent="0.35">
      <c r="A3" s="52" t="s">
        <v>177</v>
      </c>
      <c r="B3" s="52"/>
      <c r="C3" s="52"/>
      <c r="D3" s="52"/>
    </row>
    <row r="4" spans="1:5" x14ac:dyDescent="0.35">
      <c r="A4" s="52" t="s">
        <v>178</v>
      </c>
      <c r="B4" s="52"/>
      <c r="C4" s="52"/>
      <c r="D4" s="52"/>
    </row>
    <row r="5" spans="1:5" x14ac:dyDescent="0.35">
      <c r="A5" s="52" t="s">
        <v>179</v>
      </c>
      <c r="B5" s="63">
        <f>B10/B8</f>
        <v>1.1117318435754191</v>
      </c>
      <c r="C5" s="52"/>
      <c r="D5" s="52"/>
    </row>
    <row r="6" spans="1:5" x14ac:dyDescent="0.35">
      <c r="A6" s="52" t="s">
        <v>180</v>
      </c>
      <c r="B6" s="63">
        <f>1*(273.15+15)/(273.15)</f>
        <v>1.0549148819330039</v>
      </c>
      <c r="C6" s="52"/>
      <c r="D6" s="54" t="s">
        <v>181</v>
      </c>
      <c r="E6" t="s">
        <v>225</v>
      </c>
    </row>
    <row r="7" spans="1:5" x14ac:dyDescent="0.35">
      <c r="A7" s="52" t="s">
        <v>182</v>
      </c>
      <c r="B7" s="55">
        <v>35.799999999999997</v>
      </c>
      <c r="C7" s="56" t="s">
        <v>183</v>
      </c>
      <c r="D7" s="54" t="s">
        <v>184</v>
      </c>
    </row>
    <row r="8" spans="1:5" x14ac:dyDescent="0.35">
      <c r="A8" s="52" t="s">
        <v>185</v>
      </c>
      <c r="B8" s="55">
        <f>B7/B6</f>
        <v>33.936387298282142</v>
      </c>
      <c r="C8" s="56" t="s">
        <v>186</v>
      </c>
      <c r="D8" s="57" t="s">
        <v>187</v>
      </c>
    </row>
    <row r="9" spans="1:5" x14ac:dyDescent="0.35">
      <c r="A9" s="52" t="s">
        <v>188</v>
      </c>
      <c r="B9" s="58">
        <v>39.799999999999997</v>
      </c>
      <c r="C9" s="56" t="s">
        <v>183</v>
      </c>
      <c r="D9" s="54" t="s">
        <v>184</v>
      </c>
      <c r="E9">
        <f>1170/B6</f>
        <v>1109.0942217595002</v>
      </c>
    </row>
    <row r="10" spans="1:5" x14ac:dyDescent="0.35">
      <c r="A10" s="52" t="s">
        <v>189</v>
      </c>
      <c r="B10" s="55">
        <f>B9/B6</f>
        <v>37.72816241540864</v>
      </c>
      <c r="C10" s="56" t="s">
        <v>186</v>
      </c>
      <c r="D10" s="57" t="s">
        <v>187</v>
      </c>
    </row>
    <row r="11" spans="1:5" x14ac:dyDescent="0.35">
      <c r="A11" s="52" t="s">
        <v>190</v>
      </c>
      <c r="B11" s="59">
        <v>0.71599999999999997</v>
      </c>
      <c r="C11" s="56" t="s">
        <v>191</v>
      </c>
      <c r="D11" s="54" t="s">
        <v>184</v>
      </c>
    </row>
    <row r="12" spans="1:5" x14ac:dyDescent="0.35">
      <c r="A12" s="52" t="s">
        <v>192</v>
      </c>
      <c r="B12" s="60">
        <v>0.67800000000000005</v>
      </c>
      <c r="C12" s="56" t="s">
        <v>193</v>
      </c>
      <c r="D12" s="54" t="s">
        <v>194</v>
      </c>
    </row>
    <row r="13" spans="1:5" x14ac:dyDescent="0.35">
      <c r="A13" s="56"/>
      <c r="B13" s="52"/>
      <c r="C13" s="56"/>
      <c r="D13" s="52"/>
    </row>
    <row r="14" spans="1:5" x14ac:dyDescent="0.35">
      <c r="A14" s="56" t="s">
        <v>195</v>
      </c>
      <c r="B14" s="55">
        <f>B7/B11</f>
        <v>50</v>
      </c>
      <c r="C14" s="56" t="s">
        <v>196</v>
      </c>
      <c r="D14" s="61" t="s">
        <v>197</v>
      </c>
    </row>
    <row r="15" spans="1:5" x14ac:dyDescent="0.35">
      <c r="A15" s="56" t="s">
        <v>198</v>
      </c>
      <c r="B15" s="55">
        <f>B8/B12</f>
        <v>50.053668581537082</v>
      </c>
      <c r="C15" s="56" t="s">
        <v>196</v>
      </c>
      <c r="D15" s="61" t="s">
        <v>197</v>
      </c>
    </row>
    <row r="16" spans="1:5" x14ac:dyDescent="0.35">
      <c r="A16" s="56" t="s">
        <v>199</v>
      </c>
      <c r="B16" s="55">
        <f>B9/B11</f>
        <v>55.58659217877095</v>
      </c>
      <c r="C16" s="56" t="s">
        <v>196</v>
      </c>
      <c r="D16" s="61" t="s">
        <v>200</v>
      </c>
    </row>
    <row r="17" spans="1:176" x14ac:dyDescent="0.35">
      <c r="A17" s="56" t="s">
        <v>201</v>
      </c>
      <c r="B17" s="55">
        <f>B10/B12</f>
        <v>55.646257249865251</v>
      </c>
      <c r="C17" s="56" t="s">
        <v>196</v>
      </c>
      <c r="D17" s="61" t="s">
        <v>200</v>
      </c>
    </row>
    <row r="18" spans="1:176" x14ac:dyDescent="0.35">
      <c r="A18" s="52"/>
      <c r="B18" s="52"/>
      <c r="C18" s="56"/>
      <c r="D18" s="52"/>
    </row>
    <row r="19" spans="1:176" x14ac:dyDescent="0.35">
      <c r="A19" s="51" t="s">
        <v>202</v>
      </c>
      <c r="B19" s="52"/>
      <c r="C19" s="56"/>
      <c r="D19" s="52"/>
    </row>
    <row r="20" spans="1:176" x14ac:dyDescent="0.35">
      <c r="A20" s="52" t="s">
        <v>203</v>
      </c>
      <c r="B20" s="55">
        <v>3.6</v>
      </c>
      <c r="C20" s="61" t="s">
        <v>204</v>
      </c>
      <c r="D20" s="61" t="s">
        <v>205</v>
      </c>
    </row>
    <row r="21" spans="1:176" x14ac:dyDescent="0.35">
      <c r="A21" s="52" t="s">
        <v>182</v>
      </c>
      <c r="B21" s="55">
        <f>B7/3.6</f>
        <v>9.9444444444444429</v>
      </c>
      <c r="C21" s="61" t="s">
        <v>118</v>
      </c>
      <c r="D21" s="61"/>
    </row>
    <row r="22" spans="1:176" x14ac:dyDescent="0.35">
      <c r="A22" s="52" t="s">
        <v>185</v>
      </c>
      <c r="B22" s="55">
        <f>B8/3.6</f>
        <v>9.4267742495228166</v>
      </c>
      <c r="C22" s="61" t="s">
        <v>206</v>
      </c>
      <c r="D22" s="61"/>
    </row>
    <row r="23" spans="1:176" x14ac:dyDescent="0.35">
      <c r="A23" s="52" t="s">
        <v>188</v>
      </c>
      <c r="B23" s="63">
        <f t="shared" ref="B23" si="0">B9/3.6</f>
        <v>11.055555555555555</v>
      </c>
      <c r="C23" s="61" t="s">
        <v>118</v>
      </c>
      <c r="D23" s="61"/>
    </row>
    <row r="24" spans="1:176" x14ac:dyDescent="0.35">
      <c r="A24" s="52" t="s">
        <v>189</v>
      </c>
      <c r="B24" s="55">
        <f>B10/3.6</f>
        <v>10.480045115391288</v>
      </c>
      <c r="C24" s="61" t="s">
        <v>206</v>
      </c>
      <c r="D24" s="61"/>
    </row>
    <row r="25" spans="1:176" x14ac:dyDescent="0.35">
      <c r="A25" s="52"/>
      <c r="B25" s="55"/>
      <c r="C25" s="61"/>
      <c r="D25" s="61"/>
    </row>
    <row r="26" spans="1:176" x14ac:dyDescent="0.35">
      <c r="A26" s="56" t="s">
        <v>207</v>
      </c>
      <c r="B26" s="55">
        <f>B14/3.6</f>
        <v>13.888888888888889</v>
      </c>
      <c r="C26" s="61" t="s">
        <v>121</v>
      </c>
      <c r="D26" s="61" t="s">
        <v>208</v>
      </c>
      <c r="FT26" t="e" cm="1" vm="1">
        <f t="array" ref="FT26">(FO7-FO9)*_FV(EnergyConversions!B428,"951")/1000*FT27</f>
        <v>#VALUE!</v>
      </c>
    </row>
    <row r="27" spans="1:176" x14ac:dyDescent="0.35">
      <c r="A27" s="56" t="s">
        <v>209</v>
      </c>
      <c r="B27" s="55">
        <f>B15/3.6</f>
        <v>13.903796828204744</v>
      </c>
      <c r="C27" s="61" t="s">
        <v>121</v>
      </c>
      <c r="D27" s="61" t="s">
        <v>208</v>
      </c>
      <c r="E27" t="s">
        <v>582</v>
      </c>
    </row>
    <row r="28" spans="1:176" x14ac:dyDescent="0.35">
      <c r="A28" s="52"/>
      <c r="B28" s="55"/>
      <c r="C28" s="61"/>
      <c r="D28" s="61"/>
    </row>
    <row r="29" spans="1:176" x14ac:dyDescent="0.35">
      <c r="A29" s="56" t="s">
        <v>210</v>
      </c>
      <c r="B29" s="55">
        <f>B16/3.6</f>
        <v>15.440720049658596</v>
      </c>
      <c r="C29" s="61" t="s">
        <v>121</v>
      </c>
      <c r="D29" s="61" t="s">
        <v>211</v>
      </c>
    </row>
    <row r="30" spans="1:176" x14ac:dyDescent="0.35">
      <c r="A30" s="56" t="s">
        <v>212</v>
      </c>
      <c r="B30" s="55">
        <f t="shared" ref="B30" si="1">B17/3.6</f>
        <v>15.457293680518125</v>
      </c>
      <c r="C30" s="61" t="s">
        <v>121</v>
      </c>
      <c r="D30" s="61" t="s">
        <v>211</v>
      </c>
    </row>
    <row r="31" spans="1:176" x14ac:dyDescent="0.35">
      <c r="A31" s="56"/>
      <c r="B31" s="55"/>
      <c r="C31" s="61"/>
      <c r="D31" s="61"/>
    </row>
    <row r="32" spans="1:176" x14ac:dyDescent="0.35">
      <c r="A32" s="56" t="s">
        <v>439</v>
      </c>
      <c r="B32" s="55">
        <v>29.31</v>
      </c>
      <c r="C32" s="61" t="s">
        <v>440</v>
      </c>
      <c r="D32" s="61"/>
    </row>
    <row r="33" spans="1:4" x14ac:dyDescent="0.35">
      <c r="A33" s="56"/>
      <c r="B33" s="55"/>
      <c r="C33" s="61"/>
      <c r="D33" s="61"/>
    </row>
    <row r="34" spans="1:4" x14ac:dyDescent="0.35">
      <c r="A34" s="56" t="s">
        <v>596</v>
      </c>
      <c r="B34" s="55">
        <v>39.421857923497285</v>
      </c>
      <c r="C34" s="61" t="s">
        <v>186</v>
      </c>
      <c r="D34" s="61"/>
    </row>
    <row r="35" spans="1:4" x14ac:dyDescent="0.35">
      <c r="A35" s="56" t="s">
        <v>596</v>
      </c>
      <c r="B35" s="55">
        <f>B34/3.6</f>
        <v>10.950516089860356</v>
      </c>
      <c r="C35" s="61" t="s">
        <v>206</v>
      </c>
      <c r="D35" s="61"/>
    </row>
    <row r="36" spans="1:4" x14ac:dyDescent="0.35">
      <c r="A36" s="56"/>
      <c r="B36" s="52"/>
      <c r="C36" s="52"/>
      <c r="D36" s="52"/>
    </row>
    <row r="37" spans="1:4" x14ac:dyDescent="0.35">
      <c r="A37" s="51" t="s">
        <v>213</v>
      </c>
      <c r="B37" s="59"/>
      <c r="C37" s="56"/>
      <c r="D37" s="52"/>
    </row>
    <row r="38" spans="1:4" x14ac:dyDescent="0.35">
      <c r="A38" s="52" t="s">
        <v>214</v>
      </c>
      <c r="B38" s="62">
        <f>1000/B6</f>
        <v>947.94377928162419</v>
      </c>
      <c r="C38" s="56" t="s">
        <v>215</v>
      </c>
      <c r="D38" s="54" t="s">
        <v>216</v>
      </c>
    </row>
    <row r="39" spans="1:4" x14ac:dyDescent="0.35">
      <c r="A39" s="52" t="s">
        <v>217</v>
      </c>
      <c r="B39" s="62">
        <v>1055</v>
      </c>
      <c r="C39" s="56" t="s">
        <v>204</v>
      </c>
      <c r="D39" s="57" t="s">
        <v>205</v>
      </c>
    </row>
    <row r="40" spans="1:4" x14ac:dyDescent="0.35">
      <c r="A40" s="52" t="s">
        <v>218</v>
      </c>
      <c r="B40" s="63">
        <f>0.8834730288/24</f>
        <v>3.6811376200000002E-2</v>
      </c>
      <c r="C40" s="56" t="s">
        <v>219</v>
      </c>
      <c r="D40" s="54" t="s">
        <v>216</v>
      </c>
    </row>
    <row r="41" spans="1:4" x14ac:dyDescent="0.35">
      <c r="A41" s="52" t="s">
        <v>220</v>
      </c>
      <c r="B41" s="55">
        <f>B40*B39</f>
        <v>38.836001891000002</v>
      </c>
      <c r="C41" s="56" t="s">
        <v>204</v>
      </c>
      <c r="D41" s="57"/>
    </row>
    <row r="42" spans="1:4" x14ac:dyDescent="0.35">
      <c r="A42" s="52" t="s">
        <v>221</v>
      </c>
      <c r="B42" s="63">
        <f>0.9319888458/24</f>
        <v>3.8832868574999999E-2</v>
      </c>
      <c r="C42" s="56" t="s">
        <v>219</v>
      </c>
      <c r="D42" s="54" t="s">
        <v>216</v>
      </c>
    </row>
    <row r="43" spans="1:4" x14ac:dyDescent="0.35">
      <c r="A43" s="52" t="s">
        <v>222</v>
      </c>
      <c r="B43" s="55">
        <f>B42*B39</f>
        <v>40.968676346624996</v>
      </c>
      <c r="C43" s="56" t="s">
        <v>204</v>
      </c>
      <c r="D43" s="52"/>
    </row>
    <row r="44" spans="1:4" x14ac:dyDescent="0.35">
      <c r="A44" s="52"/>
      <c r="B44" s="55">
        <f>B39/3.6</f>
        <v>293.05555555555554</v>
      </c>
      <c r="C44" s="56" t="s">
        <v>223</v>
      </c>
      <c r="D44" s="52"/>
    </row>
    <row r="45" spans="1:4" x14ac:dyDescent="0.35">
      <c r="A45" s="52"/>
      <c r="B45" s="63">
        <f>B44/1000</f>
        <v>0.29305555555555557</v>
      </c>
      <c r="C45" s="56" t="s">
        <v>224</v>
      </c>
      <c r="D45" s="52"/>
    </row>
    <row r="46" spans="1:4" x14ac:dyDescent="0.35">
      <c r="B46" s="201"/>
    </row>
    <row r="47" spans="1:4" x14ac:dyDescent="0.35">
      <c r="A47" s="202" t="s">
        <v>74</v>
      </c>
      <c r="B47" s="201">
        <v>1.9770000000000001</v>
      </c>
      <c r="C47" s="61" t="s">
        <v>777</v>
      </c>
      <c r="D47" s="6" t="s">
        <v>451</v>
      </c>
    </row>
    <row r="49" spans="1:4" x14ac:dyDescent="0.35">
      <c r="A49" t="s">
        <v>622</v>
      </c>
      <c r="B49">
        <v>39.6</v>
      </c>
      <c r="C49" t="s">
        <v>220</v>
      </c>
    </row>
    <row r="50" spans="1:4" x14ac:dyDescent="0.35">
      <c r="A50" t="s">
        <v>622</v>
      </c>
      <c r="B50" s="4">
        <f>B49/3.6</f>
        <v>11</v>
      </c>
      <c r="C50" t="s">
        <v>623</v>
      </c>
    </row>
    <row r="52" spans="1:4" x14ac:dyDescent="0.35">
      <c r="A52" s="56" t="s">
        <v>650</v>
      </c>
      <c r="B52" s="55">
        <v>9.8849999999999998</v>
      </c>
      <c r="C52" s="61" t="s">
        <v>651</v>
      </c>
      <c r="D52" s="61" t="s">
        <v>652</v>
      </c>
    </row>
    <row r="53" spans="1:4" x14ac:dyDescent="0.35">
      <c r="A53" s="56" t="s">
        <v>653</v>
      </c>
      <c r="B53" s="55">
        <v>10.506</v>
      </c>
      <c r="C53" s="61" t="s">
        <v>651</v>
      </c>
      <c r="D53" s="61" t="s">
        <v>652</v>
      </c>
    </row>
    <row r="55" spans="1:4" x14ac:dyDescent="0.35">
      <c r="B55">
        <f>2154*B29</f>
        <v>33259.310986964614</v>
      </c>
    </row>
  </sheetData>
  <hyperlinks>
    <hyperlink ref="D6" r:id="rId1" xr:uid="{113FD03A-1BE6-438B-89A8-85AB25F67AD5}"/>
    <hyperlink ref="D7" r:id="rId2" xr:uid="{83B7F8C4-252A-4102-ADA1-81EAD4097AC1}"/>
    <hyperlink ref="D9" r:id="rId3" xr:uid="{0CDC3DA8-69D1-43B8-9485-855B72FBC291}"/>
    <hyperlink ref="D11" r:id="rId4" xr:uid="{90C4E89A-FCD2-4580-978A-FCBF1DE9B348}"/>
    <hyperlink ref="D38" r:id="rId5" xr:uid="{CA8337C9-5C12-4614-9E8A-AD56EEA06B3D}"/>
    <hyperlink ref="D12" r:id="rId6" xr:uid="{718E033C-F72F-4C24-AB01-597E47039539}"/>
    <hyperlink ref="D40" r:id="rId7" xr:uid="{E85A301A-FD40-4B5C-A7D5-76E93A427EF1}"/>
    <hyperlink ref="D42" r:id="rId8" xr:uid="{23250212-E8E8-4920-A601-C9395DAE64C1}"/>
    <hyperlink ref="D47" r:id="rId9" xr:uid="{5CFAB719-5B73-4221-AFF1-3A6FF3F10F16}"/>
  </hyperlinks>
  <pageMargins left="0.7" right="0.7" top="0.75" bottom="0.75" header="0.3" footer="0.3"/>
  <legacyDrawing r:id="rId1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A9F6-EF19-43D1-9F90-67DB903F48B5}">
  <sheetPr>
    <tabColor theme="9"/>
  </sheetPr>
  <dimension ref="A2:G47"/>
  <sheetViews>
    <sheetView topLeftCell="A23" zoomScale="101" zoomScaleNormal="160" workbookViewId="0">
      <selection activeCell="G37" sqref="G37"/>
    </sheetView>
  </sheetViews>
  <sheetFormatPr defaultColWidth="8.54296875" defaultRowHeight="14.5" x14ac:dyDescent="0.35"/>
  <cols>
    <col min="1" max="1" width="8.54296875" style="335"/>
    <col min="2" max="2" width="25.26953125" style="337" customWidth="1"/>
    <col min="3" max="3" width="7.81640625" style="659" customWidth="1"/>
    <col min="4" max="4" width="12.81640625" style="337" customWidth="1"/>
    <col min="5" max="5" width="9.453125" style="659" customWidth="1"/>
    <col min="6" max="6" width="25.08984375" style="337" customWidth="1"/>
    <col min="7" max="7" width="154.1796875" style="335" customWidth="1"/>
    <col min="8" max="16384" width="8.54296875" style="335"/>
  </cols>
  <sheetData>
    <row r="2" spans="1:7" ht="16" x14ac:dyDescent="0.45">
      <c r="B2" s="336" t="s">
        <v>310</v>
      </c>
      <c r="G2" s="338"/>
    </row>
    <row r="3" spans="1:7" ht="16" x14ac:dyDescent="0.45">
      <c r="B3" s="339" t="s">
        <v>3</v>
      </c>
      <c r="C3" s="660" t="s">
        <v>269</v>
      </c>
      <c r="D3" s="340" t="s">
        <v>275</v>
      </c>
      <c r="E3" s="660" t="s">
        <v>636</v>
      </c>
      <c r="F3" s="340" t="s">
        <v>637</v>
      </c>
      <c r="G3" s="341" t="s">
        <v>274</v>
      </c>
    </row>
    <row r="4" spans="1:7" ht="16" x14ac:dyDescent="0.45">
      <c r="A4" s="342"/>
      <c r="B4" s="601" t="s">
        <v>638</v>
      </c>
      <c r="C4" s="661">
        <v>0.25402999999999998</v>
      </c>
      <c r="D4" s="602" t="s">
        <v>639</v>
      </c>
      <c r="E4" s="669">
        <f>Table_12[[#This Row],[Value]]/3.6*1000</f>
        <v>70.563888888888883</v>
      </c>
      <c r="F4" s="602" t="s">
        <v>311</v>
      </c>
      <c r="G4" s="603" t="s">
        <v>809</v>
      </c>
    </row>
    <row r="5" spans="1:7" ht="16" x14ac:dyDescent="0.45">
      <c r="A5" s="342"/>
      <c r="B5" s="601" t="s">
        <v>640</v>
      </c>
      <c r="C5" s="661">
        <v>6.1809999999999997E-2</v>
      </c>
      <c r="D5" s="602" t="s">
        <v>639</v>
      </c>
      <c r="E5" s="669">
        <f>Table_12[[#This Row],[Value]]/3.6*1000</f>
        <v>17.169444444444441</v>
      </c>
      <c r="F5" s="602" t="s">
        <v>311</v>
      </c>
      <c r="G5" s="603" t="s">
        <v>809</v>
      </c>
    </row>
    <row r="6" spans="1:7" ht="16" x14ac:dyDescent="0.45">
      <c r="A6" s="342"/>
      <c r="B6" s="641"/>
      <c r="C6" s="662"/>
      <c r="D6" s="602" t="s">
        <v>641</v>
      </c>
      <c r="E6" s="669">
        <f>Table_12[[#This Row],[Value]]/3.6*1000</f>
        <v>0</v>
      </c>
      <c r="F6" s="605"/>
      <c r="G6" s="603"/>
    </row>
    <row r="7" spans="1:7" ht="16" x14ac:dyDescent="0.45">
      <c r="A7" s="343"/>
      <c r="B7" s="604" t="s">
        <v>642</v>
      </c>
      <c r="C7" s="663">
        <v>2.3000000000000001E-4</v>
      </c>
      <c r="D7" s="602" t="s">
        <v>639</v>
      </c>
      <c r="E7" s="669">
        <f>Table_12[[#This Row],[Value]]/3.6*1000</f>
        <v>6.3888888888888898E-2</v>
      </c>
      <c r="F7" s="602" t="s">
        <v>311</v>
      </c>
      <c r="G7" s="603" t="s">
        <v>809</v>
      </c>
    </row>
    <row r="8" spans="1:7" ht="17.25" customHeight="1" x14ac:dyDescent="0.45">
      <c r="A8" s="343"/>
      <c r="B8" s="604" t="s">
        <v>643</v>
      </c>
      <c r="C8" s="663">
        <v>1.8509999999999999E-2</v>
      </c>
      <c r="D8" s="602" t="s">
        <v>639</v>
      </c>
      <c r="E8" s="669">
        <f>Table_12[[#This Row],[Value]]/3.6*1000</f>
        <v>5.1416666666666657</v>
      </c>
      <c r="F8" s="602" t="s">
        <v>311</v>
      </c>
      <c r="G8" s="603" t="s">
        <v>809</v>
      </c>
    </row>
    <row r="9" spans="1:7" ht="16" x14ac:dyDescent="0.45">
      <c r="A9" s="343"/>
      <c r="B9" s="604" t="s">
        <v>644</v>
      </c>
      <c r="C9" s="664">
        <v>0.19902</v>
      </c>
      <c r="D9" s="602" t="s">
        <v>639</v>
      </c>
      <c r="E9" s="669">
        <f>Table_12[[#This Row],[Value]]/3.6*1000</f>
        <v>55.283333333333331</v>
      </c>
      <c r="F9" s="602" t="s">
        <v>311</v>
      </c>
      <c r="G9" s="603" t="s">
        <v>809</v>
      </c>
    </row>
    <row r="10" spans="1:7" ht="16" x14ac:dyDescent="0.45">
      <c r="A10" s="343"/>
      <c r="B10" s="604" t="s">
        <v>645</v>
      </c>
      <c r="C10" s="663">
        <v>0.20263999999999999</v>
      </c>
      <c r="D10" s="602" t="s">
        <v>639</v>
      </c>
      <c r="E10" s="669">
        <f>Table_12[[#This Row],[Value]]/3.6*1000</f>
        <v>56.288888888888884</v>
      </c>
      <c r="F10" s="602" t="s">
        <v>311</v>
      </c>
      <c r="G10" s="603" t="s">
        <v>809</v>
      </c>
    </row>
    <row r="11" spans="1:7" ht="16" x14ac:dyDescent="0.45">
      <c r="A11" s="343"/>
      <c r="B11" s="604" t="s">
        <v>646</v>
      </c>
      <c r="C11" s="663">
        <v>3.347E-2</v>
      </c>
      <c r="D11" s="602" t="s">
        <v>639</v>
      </c>
      <c r="E11" s="669">
        <f>Table_12[[#This Row],[Value]]/3.6*1000</f>
        <v>9.2972222222222225</v>
      </c>
      <c r="F11" s="602" t="s">
        <v>311</v>
      </c>
      <c r="G11" s="603" t="s">
        <v>809</v>
      </c>
    </row>
    <row r="12" spans="1:7" ht="18.75" customHeight="1" x14ac:dyDescent="0.45">
      <c r="B12" s="604" t="s">
        <v>319</v>
      </c>
      <c r="C12" s="663">
        <v>0.20705000000000001</v>
      </c>
      <c r="D12" s="602" t="s">
        <v>639</v>
      </c>
      <c r="E12" s="669">
        <f>Table_12[[#This Row],[Value]]/3.6*1000</f>
        <v>57.513888888888893</v>
      </c>
      <c r="F12" s="606" t="s">
        <v>311</v>
      </c>
      <c r="G12" s="603" t="s">
        <v>809</v>
      </c>
    </row>
    <row r="13" spans="1:7" ht="15.5" x14ac:dyDescent="0.35">
      <c r="B13" s="604" t="s">
        <v>281</v>
      </c>
      <c r="C13" s="664"/>
      <c r="D13" s="602" t="s">
        <v>639</v>
      </c>
      <c r="E13" s="669">
        <v>0.15462999999999999</v>
      </c>
      <c r="F13" s="606" t="s">
        <v>314</v>
      </c>
      <c r="G13" s="607" t="s">
        <v>315</v>
      </c>
    </row>
    <row r="14" spans="1:7" ht="16" x14ac:dyDescent="0.45">
      <c r="B14" s="604" t="s">
        <v>281</v>
      </c>
      <c r="C14" s="664"/>
      <c r="D14" s="602" t="s">
        <v>639</v>
      </c>
      <c r="E14" s="668">
        <v>241.61706915768804</v>
      </c>
      <c r="F14" s="606" t="s">
        <v>311</v>
      </c>
      <c r="G14" s="608" t="s">
        <v>316</v>
      </c>
    </row>
    <row r="15" spans="1:7" ht="16" x14ac:dyDescent="0.45">
      <c r="B15" s="601" t="s">
        <v>287</v>
      </c>
      <c r="C15" s="661"/>
      <c r="D15" s="602" t="s">
        <v>639</v>
      </c>
      <c r="E15" s="668">
        <v>84.98</v>
      </c>
      <c r="F15" s="602" t="s">
        <v>311</v>
      </c>
      <c r="G15" s="608" t="s">
        <v>285</v>
      </c>
    </row>
    <row r="16" spans="1:7" ht="16" x14ac:dyDescent="0.45">
      <c r="B16" s="601" t="s">
        <v>312</v>
      </c>
      <c r="C16" s="661"/>
      <c r="D16" s="602" t="s">
        <v>639</v>
      </c>
      <c r="E16" s="670">
        <v>67.59</v>
      </c>
      <c r="F16" s="602" t="s">
        <v>311</v>
      </c>
      <c r="G16" s="608" t="s">
        <v>285</v>
      </c>
    </row>
    <row r="17" spans="2:7" ht="16" x14ac:dyDescent="0.45">
      <c r="B17" s="601" t="s">
        <v>313</v>
      </c>
      <c r="C17" s="661"/>
      <c r="D17" s="602" t="s">
        <v>639</v>
      </c>
      <c r="E17" s="668">
        <v>66.2</v>
      </c>
      <c r="F17" s="602" t="s">
        <v>311</v>
      </c>
      <c r="G17" s="608" t="s">
        <v>285</v>
      </c>
    </row>
    <row r="18" spans="2:7" ht="16" x14ac:dyDescent="0.45">
      <c r="B18" s="604" t="s">
        <v>317</v>
      </c>
      <c r="C18" s="664"/>
      <c r="D18" s="602" t="s">
        <v>639</v>
      </c>
      <c r="E18" s="669">
        <v>53.7</v>
      </c>
      <c r="F18" s="606" t="s">
        <v>311</v>
      </c>
      <c r="G18" s="608" t="s">
        <v>285</v>
      </c>
    </row>
    <row r="19" spans="2:7" ht="16" x14ac:dyDescent="0.45">
      <c r="B19" s="604" t="s">
        <v>318</v>
      </c>
      <c r="C19" s="664"/>
      <c r="D19" s="602" t="s">
        <v>639</v>
      </c>
      <c r="E19" s="668">
        <v>127.65</v>
      </c>
      <c r="F19" s="606" t="s">
        <v>311</v>
      </c>
      <c r="G19" s="608" t="s">
        <v>285</v>
      </c>
    </row>
    <row r="21" spans="2:7" ht="16" x14ac:dyDescent="0.45">
      <c r="B21" s="344" t="s">
        <v>43</v>
      </c>
      <c r="C21" s="665"/>
      <c r="D21" s="344"/>
      <c r="E21" s="671">
        <v>5.6958729914442294</v>
      </c>
      <c r="F21" s="345" t="s">
        <v>311</v>
      </c>
      <c r="G21" s="346" t="s">
        <v>320</v>
      </c>
    </row>
    <row r="22" spans="2:7" x14ac:dyDescent="0.35">
      <c r="B22" s="347"/>
      <c r="C22" s="666"/>
      <c r="D22" s="347"/>
      <c r="E22" s="666"/>
      <c r="F22" s="347"/>
    </row>
    <row r="23" spans="2:7" x14ac:dyDescent="0.35">
      <c r="B23" s="347" t="s">
        <v>321</v>
      </c>
      <c r="C23" s="666"/>
      <c r="D23" s="347"/>
      <c r="E23" s="666">
        <v>1427.1</v>
      </c>
      <c r="F23" s="347" t="s">
        <v>322</v>
      </c>
      <c r="G23" s="335" t="s">
        <v>808</v>
      </c>
    </row>
    <row r="24" spans="2:7" x14ac:dyDescent="0.35">
      <c r="B24" s="348" t="s">
        <v>323</v>
      </c>
      <c r="C24" s="667"/>
      <c r="D24" s="348"/>
      <c r="E24" s="672">
        <v>5880.6</v>
      </c>
      <c r="F24" s="347" t="s">
        <v>324</v>
      </c>
      <c r="G24" s="335" t="s">
        <v>808</v>
      </c>
    </row>
    <row r="25" spans="2:7" x14ac:dyDescent="0.35">
      <c r="B25" s="348" t="s">
        <v>325</v>
      </c>
      <c r="C25" s="667"/>
      <c r="D25" s="348"/>
      <c r="E25" s="672">
        <v>1010.7</v>
      </c>
      <c r="F25" s="347" t="s">
        <v>324</v>
      </c>
      <c r="G25" s="335" t="s">
        <v>808</v>
      </c>
    </row>
    <row r="26" spans="2:7" x14ac:dyDescent="0.35">
      <c r="B26" s="348" t="s">
        <v>326</v>
      </c>
      <c r="C26" s="667"/>
      <c r="D26" s="348"/>
      <c r="E26" s="672">
        <v>576.1</v>
      </c>
      <c r="F26" s="347" t="s">
        <v>324</v>
      </c>
      <c r="G26" s="335" t="s">
        <v>808</v>
      </c>
    </row>
    <row r="27" spans="2:7" x14ac:dyDescent="0.35">
      <c r="B27" s="348" t="s">
        <v>327</v>
      </c>
      <c r="C27" s="667"/>
      <c r="D27" s="348"/>
      <c r="E27" s="672">
        <v>0</v>
      </c>
      <c r="F27" s="347" t="s">
        <v>324</v>
      </c>
    </row>
    <row r="28" spans="2:7" x14ac:dyDescent="0.35">
      <c r="B28" s="348" t="s">
        <v>328</v>
      </c>
      <c r="C28" s="667"/>
      <c r="D28" s="348"/>
      <c r="E28" s="672">
        <v>129.5</v>
      </c>
      <c r="F28" s="347" t="s">
        <v>324</v>
      </c>
      <c r="G28" s="335" t="s">
        <v>808</v>
      </c>
    </row>
    <row r="29" spans="2:7" x14ac:dyDescent="0.35">
      <c r="B29" s="348" t="s">
        <v>329</v>
      </c>
      <c r="C29" s="667"/>
      <c r="D29" s="348"/>
      <c r="E29" s="672">
        <v>10971.3</v>
      </c>
      <c r="F29" s="347" t="s">
        <v>324</v>
      </c>
      <c r="G29" s="335" t="s">
        <v>808</v>
      </c>
    </row>
    <row r="30" spans="2:7" x14ac:dyDescent="0.35">
      <c r="B30" s="337" t="s">
        <v>330</v>
      </c>
      <c r="E30" s="672">
        <v>28.99</v>
      </c>
      <c r="F30" s="347" t="s">
        <v>324</v>
      </c>
    </row>
    <row r="31" spans="2:7" x14ac:dyDescent="0.35">
      <c r="B31" s="337" t="s">
        <v>331</v>
      </c>
      <c r="E31" s="711">
        <f>0.292432*100</f>
        <v>29.243200000000002</v>
      </c>
      <c r="F31" s="347" t="s">
        <v>324</v>
      </c>
    </row>
    <row r="32" spans="2:7" x14ac:dyDescent="0.35">
      <c r="B32" s="337" t="s">
        <v>332</v>
      </c>
      <c r="E32" s="715">
        <f>0.1375*100</f>
        <v>13.750000000000002</v>
      </c>
      <c r="F32" s="347" t="s">
        <v>324</v>
      </c>
    </row>
    <row r="33" spans="2:7" ht="37.5" x14ac:dyDescent="0.35">
      <c r="B33" s="712" t="s">
        <v>333</v>
      </c>
      <c r="C33" s="713"/>
      <c r="D33" s="713"/>
      <c r="E33" s="715">
        <v>5.1909999999999998</v>
      </c>
      <c r="F33" s="713" t="s">
        <v>334</v>
      </c>
      <c r="G33" s="714" t="s">
        <v>850</v>
      </c>
    </row>
    <row r="34" spans="2:7" ht="37.5" x14ac:dyDescent="0.35">
      <c r="B34" s="712" t="s">
        <v>335</v>
      </c>
      <c r="C34" s="713"/>
      <c r="D34" s="713"/>
      <c r="E34" s="715">
        <v>7.5259999999999998</v>
      </c>
      <c r="F34" s="713" t="s">
        <v>334</v>
      </c>
      <c r="G34" s="714" t="s">
        <v>850</v>
      </c>
    </row>
    <row r="35" spans="2:7" ht="25" x14ac:dyDescent="0.35">
      <c r="B35" s="712" t="s">
        <v>91</v>
      </c>
      <c r="C35" s="713"/>
      <c r="D35" s="713"/>
      <c r="E35" s="715">
        <v>4.7720000000000002</v>
      </c>
      <c r="F35" s="713" t="s">
        <v>334</v>
      </c>
      <c r="G35" s="714" t="s">
        <v>850</v>
      </c>
    </row>
    <row r="36" spans="2:7" ht="25" x14ac:dyDescent="0.35">
      <c r="B36" s="712" t="s">
        <v>851</v>
      </c>
      <c r="C36" s="713"/>
      <c r="D36" s="713"/>
      <c r="E36" s="715">
        <v>28</v>
      </c>
      <c r="F36" s="713" t="s">
        <v>852</v>
      </c>
      <c r="G36" s="714" t="s">
        <v>850</v>
      </c>
    </row>
    <row r="37" spans="2:7" x14ac:dyDescent="0.35">
      <c r="B37" s="713" t="s">
        <v>853</v>
      </c>
      <c r="C37" s="713"/>
      <c r="D37" s="713"/>
      <c r="E37" s="715">
        <v>265</v>
      </c>
      <c r="F37" s="713" t="s">
        <v>854</v>
      </c>
      <c r="G37" s="714" t="s">
        <v>850</v>
      </c>
    </row>
    <row r="38" spans="2:7" ht="15.5" x14ac:dyDescent="0.35">
      <c r="B38" s="713" t="s">
        <v>855</v>
      </c>
      <c r="C38" s="713"/>
      <c r="D38" s="713"/>
      <c r="E38" s="715">
        <v>0.01</v>
      </c>
      <c r="F38" s="713" t="s">
        <v>856</v>
      </c>
      <c r="G38" s="714" t="s">
        <v>850</v>
      </c>
    </row>
    <row r="39" spans="2:7" ht="15.5" x14ac:dyDescent="0.35">
      <c r="B39" s="713" t="s">
        <v>857</v>
      </c>
      <c r="C39" s="713"/>
      <c r="D39" s="713"/>
      <c r="E39" s="715">
        <v>0.01</v>
      </c>
      <c r="F39" s="713" t="s">
        <v>858</v>
      </c>
      <c r="G39" s="714" t="s">
        <v>850</v>
      </c>
    </row>
    <row r="40" spans="2:7" ht="15.5" x14ac:dyDescent="0.35">
      <c r="B40" s="713" t="s">
        <v>857</v>
      </c>
      <c r="C40" s="713"/>
      <c r="D40" s="713"/>
      <c r="E40" s="715">
        <v>7.4999999999999997E-3</v>
      </c>
      <c r="F40" s="713" t="s">
        <v>859</v>
      </c>
      <c r="G40" s="714" t="s">
        <v>850</v>
      </c>
    </row>
    <row r="41" spans="2:7" ht="15.5" x14ac:dyDescent="0.35">
      <c r="B41" s="713" t="s">
        <v>857</v>
      </c>
      <c r="C41" s="713"/>
      <c r="D41" s="713"/>
      <c r="E41" s="715">
        <v>0.1</v>
      </c>
      <c r="F41" s="713" t="s">
        <v>860</v>
      </c>
      <c r="G41" s="714" t="s">
        <v>850</v>
      </c>
    </row>
    <row r="42" spans="2:7" ht="15.5" x14ac:dyDescent="0.35">
      <c r="B42" s="713" t="s">
        <v>857</v>
      </c>
      <c r="C42" s="713"/>
      <c r="D42" s="713"/>
      <c r="E42" s="715">
        <v>0.2</v>
      </c>
      <c r="F42" s="713" t="s">
        <v>861</v>
      </c>
      <c r="G42" s="714" t="s">
        <v>850</v>
      </c>
    </row>
    <row r="43" spans="2:7" ht="15.5" x14ac:dyDescent="0.35">
      <c r="B43" s="713" t="s">
        <v>857</v>
      </c>
      <c r="C43" s="713"/>
      <c r="D43" s="713"/>
      <c r="E43" s="715">
        <v>0.3</v>
      </c>
      <c r="F43" s="713" t="s">
        <v>862</v>
      </c>
      <c r="G43" s="714" t="s">
        <v>850</v>
      </c>
    </row>
    <row r="44" spans="2:7" x14ac:dyDescent="0.35">
      <c r="B44" s="609" t="s">
        <v>647</v>
      </c>
      <c r="E44" s="337"/>
    </row>
    <row r="45" spans="2:7" x14ac:dyDescent="0.35">
      <c r="B45" s="337" t="s">
        <v>648</v>
      </c>
      <c r="E45" s="715">
        <v>1</v>
      </c>
    </row>
    <row r="46" spans="2:7" x14ac:dyDescent="0.35">
      <c r="B46" s="337" t="s">
        <v>293</v>
      </c>
      <c r="E46" s="715">
        <v>28</v>
      </c>
    </row>
    <row r="47" spans="2:7" x14ac:dyDescent="0.35">
      <c r="B47" s="337" t="s">
        <v>649</v>
      </c>
      <c r="E47" s="715">
        <v>265</v>
      </c>
    </row>
  </sheetData>
  <phoneticPr fontId="26" type="noConversion"/>
  <hyperlinks>
    <hyperlink ref="G13" r:id="rId1" xr:uid="{CF7CE5A7-08A0-4A36-8E9B-C1DCE04E1834}"/>
  </hyperlinks>
  <pageMargins left="0.7" right="0.7" top="0.75" bottom="0.75" header="0.3" footer="0.3"/>
  <pageSetup paperSize="9" orientation="portrait" r:id="rId2"/>
  <legacy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27E6-DF98-4284-8806-24FF02D8CC1D}">
  <sheetPr>
    <tabColor theme="9"/>
  </sheetPr>
  <dimension ref="A1:H74"/>
  <sheetViews>
    <sheetView topLeftCell="A26" zoomScale="99" zoomScaleNormal="145" workbookViewId="0">
      <selection activeCell="B64" sqref="B64"/>
    </sheetView>
  </sheetViews>
  <sheetFormatPr defaultColWidth="9.453125" defaultRowHeight="13.5" x14ac:dyDescent="0.25"/>
  <cols>
    <col min="1" max="1" width="6" style="130" customWidth="1"/>
    <col min="2" max="2" width="23.54296875" style="130" customWidth="1"/>
    <col min="3" max="3" width="21.81640625" style="130" customWidth="1"/>
    <col min="4" max="4" width="22.453125" style="658" customWidth="1"/>
    <col min="5" max="5" width="28.81640625" style="130" customWidth="1"/>
    <col min="6" max="6" width="20.81640625" style="130" customWidth="1"/>
    <col min="7" max="7" width="24" style="130" customWidth="1"/>
    <col min="8" max="8" width="84.54296875" style="130" customWidth="1"/>
    <col min="9" max="16384" width="9.453125" style="130"/>
  </cols>
  <sheetData>
    <row r="1" spans="1:8" ht="18" thickBot="1" x14ac:dyDescent="0.4">
      <c r="A1" s="128"/>
      <c r="B1" s="129" t="s">
        <v>309</v>
      </c>
      <c r="C1" s="128"/>
      <c r="D1" s="648"/>
      <c r="E1" s="128"/>
      <c r="F1" s="128"/>
      <c r="G1" s="128"/>
      <c r="H1" s="128"/>
    </row>
    <row r="2" spans="1:8" ht="14" x14ac:dyDescent="0.3">
      <c r="A2" s="131"/>
      <c r="B2" s="132"/>
      <c r="C2" s="131"/>
      <c r="D2" s="649"/>
      <c r="E2" s="131"/>
      <c r="F2" s="131"/>
      <c r="G2" s="131"/>
      <c r="H2" s="131"/>
    </row>
    <row r="3" spans="1:8" ht="14" x14ac:dyDescent="0.3">
      <c r="A3" s="131"/>
      <c r="B3" s="132" t="s">
        <v>308</v>
      </c>
      <c r="C3" s="131"/>
      <c r="D3" s="649"/>
      <c r="E3" s="131"/>
      <c r="F3" s="131"/>
      <c r="G3" s="131"/>
      <c r="H3" s="131"/>
    </row>
    <row r="4" spans="1:8" ht="14" x14ac:dyDescent="0.3">
      <c r="A4" s="131"/>
      <c r="B4" s="133" t="s">
        <v>307</v>
      </c>
      <c r="C4" s="134" t="s">
        <v>275</v>
      </c>
      <c r="D4" s="650" t="s">
        <v>269</v>
      </c>
      <c r="E4" s="135" t="s">
        <v>274</v>
      </c>
      <c r="F4" s="131"/>
      <c r="G4" s="131"/>
      <c r="H4" s="131"/>
    </row>
    <row r="5" spans="1:8" ht="15.5" x14ac:dyDescent="0.4">
      <c r="A5" s="131"/>
      <c r="B5" s="136" t="s">
        <v>74</v>
      </c>
      <c r="C5" s="137" t="s">
        <v>305</v>
      </c>
      <c r="D5" s="651">
        <v>1</v>
      </c>
      <c r="E5" s="138" t="s">
        <v>285</v>
      </c>
      <c r="F5" s="131"/>
      <c r="G5" s="131"/>
      <c r="H5" s="131"/>
    </row>
    <row r="6" spans="1:8" ht="15.5" x14ac:dyDescent="0.4">
      <c r="A6" s="131"/>
      <c r="B6" s="136" t="s">
        <v>72</v>
      </c>
      <c r="C6" s="137" t="s">
        <v>305</v>
      </c>
      <c r="D6" s="651">
        <v>23</v>
      </c>
      <c r="E6" s="138" t="s">
        <v>285</v>
      </c>
      <c r="F6" s="131"/>
      <c r="G6" s="131"/>
      <c r="H6" s="131"/>
    </row>
    <row r="7" spans="1:8" ht="15.5" x14ac:dyDescent="0.4">
      <c r="A7" s="131"/>
      <c r="B7" s="139" t="s">
        <v>306</v>
      </c>
      <c r="C7" s="140" t="s">
        <v>305</v>
      </c>
      <c r="D7" s="652">
        <v>296</v>
      </c>
      <c r="E7" s="141" t="s">
        <v>285</v>
      </c>
      <c r="F7" s="131"/>
      <c r="G7" s="131"/>
      <c r="H7" s="131"/>
    </row>
    <row r="8" spans="1:8" ht="14" x14ac:dyDescent="0.3">
      <c r="A8" s="131"/>
      <c r="B8" s="131"/>
      <c r="C8" s="142"/>
      <c r="D8" s="653"/>
      <c r="E8" s="131"/>
      <c r="F8" s="131"/>
      <c r="G8" s="131"/>
      <c r="H8" s="131"/>
    </row>
    <row r="9" spans="1:8" ht="14" x14ac:dyDescent="0.3">
      <c r="A9" s="131"/>
      <c r="B9" s="132" t="s">
        <v>304</v>
      </c>
      <c r="C9" s="142"/>
      <c r="D9" s="653"/>
      <c r="E9" s="131"/>
      <c r="F9" s="131"/>
      <c r="G9" s="131"/>
      <c r="H9" s="131"/>
    </row>
    <row r="10" spans="1:8" ht="14" x14ac:dyDescent="0.3">
      <c r="A10" s="131"/>
      <c r="B10" s="133" t="s">
        <v>3</v>
      </c>
      <c r="C10" s="143" t="s">
        <v>275</v>
      </c>
      <c r="D10" s="650" t="s">
        <v>269</v>
      </c>
      <c r="E10" s="134" t="s">
        <v>274</v>
      </c>
      <c r="F10" s="134" t="s">
        <v>303</v>
      </c>
      <c r="G10" s="134" t="s">
        <v>302</v>
      </c>
      <c r="H10" s="135" t="s">
        <v>301</v>
      </c>
    </row>
    <row r="11" spans="1:8" ht="14" x14ac:dyDescent="0.3">
      <c r="A11" s="131"/>
      <c r="B11" s="136" t="s">
        <v>125</v>
      </c>
      <c r="C11" s="137" t="s">
        <v>196</v>
      </c>
      <c r="D11" s="654">
        <v>43.1</v>
      </c>
      <c r="E11" s="144" t="s">
        <v>285</v>
      </c>
      <c r="F11" s="137" t="s">
        <v>299</v>
      </c>
      <c r="G11" s="145">
        <f>D11*D25/1000</f>
        <v>35.859200000000001</v>
      </c>
      <c r="H11" s="138" t="s">
        <v>285</v>
      </c>
    </row>
    <row r="12" spans="1:8" ht="14" x14ac:dyDescent="0.3">
      <c r="A12" s="131"/>
      <c r="B12" s="136" t="s">
        <v>287</v>
      </c>
      <c r="C12" s="137" t="s">
        <v>196</v>
      </c>
      <c r="D12" s="654">
        <v>40.5</v>
      </c>
      <c r="E12" s="144" t="s">
        <v>285</v>
      </c>
      <c r="F12" s="137" t="s">
        <v>299</v>
      </c>
      <c r="G12" s="145">
        <f>D12*D26/1000</f>
        <v>39.284999999999997</v>
      </c>
      <c r="H12" s="138" t="s">
        <v>285</v>
      </c>
    </row>
    <row r="13" spans="1:8" ht="14" x14ac:dyDescent="0.3">
      <c r="A13" s="131"/>
      <c r="B13" s="136" t="s">
        <v>286</v>
      </c>
      <c r="C13" s="137" t="s">
        <v>196</v>
      </c>
      <c r="D13" s="654">
        <v>43.2</v>
      </c>
      <c r="E13" s="144" t="s">
        <v>285</v>
      </c>
      <c r="F13" s="137" t="s">
        <v>299</v>
      </c>
      <c r="G13" s="145">
        <f>D13*D27/1000</f>
        <v>32.184000000000005</v>
      </c>
      <c r="H13" s="138" t="s">
        <v>285</v>
      </c>
    </row>
    <row r="14" spans="1:8" ht="14" x14ac:dyDescent="0.3">
      <c r="A14" s="131"/>
      <c r="B14" s="136" t="s">
        <v>300</v>
      </c>
      <c r="C14" s="137" t="s">
        <v>196</v>
      </c>
      <c r="D14" s="655">
        <v>20</v>
      </c>
      <c r="E14" s="144" t="s">
        <v>298</v>
      </c>
      <c r="F14" s="137" t="s">
        <v>299</v>
      </c>
      <c r="G14" s="146">
        <v>16</v>
      </c>
      <c r="H14" s="144" t="s">
        <v>298</v>
      </c>
    </row>
    <row r="15" spans="1:8" ht="14.5" x14ac:dyDescent="0.3">
      <c r="A15" s="131"/>
      <c r="B15" s="139" t="s">
        <v>297</v>
      </c>
      <c r="C15" s="137" t="s">
        <v>295</v>
      </c>
      <c r="D15" s="655">
        <v>35.700000000000003</v>
      </c>
      <c r="E15" s="127" t="s">
        <v>294</v>
      </c>
      <c r="F15" s="137"/>
      <c r="G15" s="145"/>
      <c r="H15" s="138"/>
    </row>
    <row r="16" spans="1:8" ht="14.5" x14ac:dyDescent="0.3">
      <c r="A16" s="131"/>
      <c r="B16" s="139" t="s">
        <v>296</v>
      </c>
      <c r="C16" s="137" t="s">
        <v>295</v>
      </c>
      <c r="D16" s="655">
        <v>39.6</v>
      </c>
      <c r="E16" s="147" t="s">
        <v>294</v>
      </c>
      <c r="F16" s="137"/>
      <c r="G16" s="145"/>
      <c r="H16" s="138"/>
    </row>
    <row r="17" spans="1:8" ht="14" x14ac:dyDescent="0.3">
      <c r="A17" s="131"/>
      <c r="B17" s="139" t="s">
        <v>293</v>
      </c>
      <c r="C17" s="140" t="s">
        <v>196</v>
      </c>
      <c r="D17" s="656">
        <v>50</v>
      </c>
      <c r="E17" s="148" t="s">
        <v>279</v>
      </c>
      <c r="F17" s="140" t="s">
        <v>292</v>
      </c>
      <c r="G17" s="149">
        <v>35.799999999999997</v>
      </c>
      <c r="H17" s="148" t="s">
        <v>279</v>
      </c>
    </row>
    <row r="18" spans="1:8" ht="14" x14ac:dyDescent="0.3">
      <c r="A18" s="131"/>
      <c r="B18" s="139" t="s">
        <v>291</v>
      </c>
      <c r="C18" s="140" t="s">
        <v>196</v>
      </c>
      <c r="D18" s="657">
        <v>55.53</v>
      </c>
      <c r="E18" s="148" t="s">
        <v>279</v>
      </c>
      <c r="F18" s="137"/>
      <c r="G18" s="145"/>
      <c r="H18" s="138"/>
    </row>
    <row r="19" spans="1:8" ht="14" x14ac:dyDescent="0.3">
      <c r="A19" s="131"/>
      <c r="B19" s="139" t="s">
        <v>281</v>
      </c>
      <c r="C19" s="140" t="s">
        <v>196</v>
      </c>
      <c r="D19" s="657">
        <v>45.4</v>
      </c>
      <c r="E19" s="147" t="s">
        <v>279</v>
      </c>
      <c r="F19" s="140" t="s">
        <v>121</v>
      </c>
      <c r="G19" s="149">
        <v>12.88</v>
      </c>
      <c r="H19" s="141"/>
    </row>
    <row r="20" spans="1:8" ht="14" x14ac:dyDescent="0.3">
      <c r="A20" s="131"/>
      <c r="B20" s="139" t="s">
        <v>290</v>
      </c>
      <c r="C20" s="140" t="s">
        <v>196</v>
      </c>
      <c r="D20" s="657">
        <v>121</v>
      </c>
      <c r="E20" s="148" t="s">
        <v>279</v>
      </c>
      <c r="F20" s="140"/>
      <c r="G20" s="149"/>
      <c r="H20" s="141"/>
    </row>
    <row r="21" spans="1:8" ht="14" x14ac:dyDescent="0.3">
      <c r="A21" s="131"/>
      <c r="B21" s="139" t="s">
        <v>289</v>
      </c>
      <c r="C21" s="140" t="s">
        <v>196</v>
      </c>
      <c r="D21" s="656">
        <v>26.81</v>
      </c>
      <c r="E21" s="147" t="s">
        <v>285</v>
      </c>
      <c r="F21" s="140"/>
      <c r="G21" s="149"/>
      <c r="H21" s="141"/>
    </row>
    <row r="22" spans="1:8" ht="14" x14ac:dyDescent="0.3">
      <c r="A22" s="131"/>
      <c r="B22" s="131"/>
      <c r="C22" s="131"/>
      <c r="D22" s="653"/>
      <c r="E22" s="131"/>
      <c r="F22" s="142"/>
      <c r="G22" s="142"/>
      <c r="H22" s="131"/>
    </row>
    <row r="23" spans="1:8" ht="14" x14ac:dyDescent="0.3">
      <c r="A23" s="131"/>
      <c r="B23" s="132" t="s">
        <v>288</v>
      </c>
      <c r="C23" s="131"/>
      <c r="D23" s="653"/>
      <c r="E23" s="131"/>
      <c r="F23" s="142"/>
      <c r="G23" s="142"/>
      <c r="H23" s="131"/>
    </row>
    <row r="24" spans="1:8" ht="14" x14ac:dyDescent="0.3">
      <c r="A24" s="131"/>
      <c r="B24" s="133" t="s">
        <v>3</v>
      </c>
      <c r="C24" s="134" t="s">
        <v>275</v>
      </c>
      <c r="D24" s="650" t="s">
        <v>269</v>
      </c>
      <c r="E24" s="135" t="s">
        <v>274</v>
      </c>
      <c r="F24" s="142"/>
      <c r="G24" s="142"/>
      <c r="H24" s="131"/>
    </row>
    <row r="25" spans="1:8" ht="14.5" x14ac:dyDescent="0.3">
      <c r="A25" s="131"/>
      <c r="B25" s="136" t="s">
        <v>125</v>
      </c>
      <c r="C25" s="137" t="s">
        <v>280</v>
      </c>
      <c r="D25" s="651">
        <v>832</v>
      </c>
      <c r="E25" s="138" t="s">
        <v>285</v>
      </c>
      <c r="F25" s="142"/>
      <c r="G25" s="150"/>
      <c r="H25" s="131"/>
    </row>
    <row r="26" spans="1:8" ht="14.5" x14ac:dyDescent="0.3">
      <c r="A26" s="131"/>
      <c r="B26" s="136" t="s">
        <v>287</v>
      </c>
      <c r="C26" s="137" t="s">
        <v>280</v>
      </c>
      <c r="D26" s="651">
        <v>970</v>
      </c>
      <c r="E26" s="138" t="s">
        <v>285</v>
      </c>
      <c r="F26" s="131"/>
      <c r="G26" s="131"/>
      <c r="H26" s="131"/>
    </row>
    <row r="27" spans="1:8" ht="14.5" x14ac:dyDescent="0.3">
      <c r="A27" s="131"/>
      <c r="B27" s="136" t="s">
        <v>286</v>
      </c>
      <c r="C27" s="137" t="s">
        <v>280</v>
      </c>
      <c r="D27" s="651">
        <v>745</v>
      </c>
      <c r="E27" s="138" t="s">
        <v>285</v>
      </c>
      <c r="F27" s="131"/>
      <c r="G27" s="131"/>
      <c r="H27" s="131"/>
    </row>
    <row r="28" spans="1:8" ht="14.5" x14ac:dyDescent="0.3">
      <c r="A28" s="131"/>
      <c r="B28" s="136" t="s">
        <v>76</v>
      </c>
      <c r="C28" s="137" t="s">
        <v>280</v>
      </c>
      <c r="D28" s="651">
        <v>793</v>
      </c>
      <c r="E28" s="138" t="s">
        <v>285</v>
      </c>
      <c r="F28" s="131"/>
      <c r="G28" s="131"/>
      <c r="H28" s="131"/>
    </row>
    <row r="29" spans="1:8" ht="14.5" x14ac:dyDescent="0.3">
      <c r="A29" s="131"/>
      <c r="B29" s="136" t="s">
        <v>284</v>
      </c>
      <c r="C29" s="137" t="s">
        <v>280</v>
      </c>
      <c r="D29" s="651"/>
      <c r="E29" s="138"/>
      <c r="F29" s="131"/>
      <c r="G29" s="131"/>
      <c r="H29" s="131"/>
    </row>
    <row r="30" spans="1:8" ht="14.5" x14ac:dyDescent="0.3">
      <c r="A30" s="131"/>
      <c r="B30" s="136" t="s">
        <v>283</v>
      </c>
      <c r="C30" s="137" t="s">
        <v>280</v>
      </c>
      <c r="D30" s="651">
        <v>0.66800000000000004</v>
      </c>
      <c r="E30" s="151" t="s">
        <v>282</v>
      </c>
      <c r="F30" s="131"/>
      <c r="G30" s="131"/>
      <c r="H30" s="131"/>
    </row>
    <row r="31" spans="1:8" ht="14.5" x14ac:dyDescent="0.3">
      <c r="A31" s="131"/>
      <c r="B31" s="139" t="s">
        <v>281</v>
      </c>
      <c r="C31" s="137" t="s">
        <v>280</v>
      </c>
      <c r="D31" s="652">
        <v>0.498</v>
      </c>
      <c r="E31" s="147" t="s">
        <v>279</v>
      </c>
      <c r="F31" s="131"/>
      <c r="G31" s="131"/>
      <c r="H31" s="131"/>
    </row>
    <row r="32" spans="1:8" ht="14" x14ac:dyDescent="0.3">
      <c r="A32" s="131"/>
      <c r="B32" s="131"/>
      <c r="C32" s="142"/>
      <c r="D32" s="653"/>
      <c r="E32" s="131"/>
      <c r="F32" s="131"/>
      <c r="G32" s="131"/>
      <c r="H32" s="131"/>
    </row>
    <row r="33" spans="1:8" ht="14" x14ac:dyDescent="0.3">
      <c r="A33" s="131"/>
      <c r="B33" s="132" t="s">
        <v>278</v>
      </c>
      <c r="C33" s="142"/>
      <c r="D33" s="653"/>
      <c r="E33" s="131"/>
      <c r="F33" s="131"/>
      <c r="G33" s="131"/>
      <c r="H33" s="131"/>
    </row>
    <row r="34" spans="1:8" ht="14" x14ac:dyDescent="0.3">
      <c r="A34" s="131"/>
      <c r="B34" s="133" t="s">
        <v>276</v>
      </c>
      <c r="C34" s="143" t="s">
        <v>275</v>
      </c>
      <c r="D34" s="650" t="s">
        <v>269</v>
      </c>
      <c r="E34" s="135" t="s">
        <v>274</v>
      </c>
      <c r="F34" s="131"/>
      <c r="G34" s="131"/>
      <c r="H34" s="131"/>
    </row>
    <row r="35" spans="1:8" ht="14" x14ac:dyDescent="0.3">
      <c r="A35" s="131"/>
      <c r="B35" s="139" t="s">
        <v>273</v>
      </c>
      <c r="C35" s="140" t="s">
        <v>272</v>
      </c>
      <c r="D35" s="652">
        <v>0.49</v>
      </c>
      <c r="E35" s="141" t="s">
        <v>271</v>
      </c>
      <c r="F35" s="131"/>
      <c r="G35" s="131"/>
      <c r="H35" s="131"/>
    </row>
    <row r="36" spans="1:8" ht="14" x14ac:dyDescent="0.3">
      <c r="A36" s="131"/>
      <c r="B36" s="131"/>
      <c r="C36" s="142"/>
      <c r="D36" s="653"/>
      <c r="E36" s="131"/>
      <c r="F36" s="131"/>
      <c r="G36" s="131"/>
      <c r="H36" s="131"/>
    </row>
    <row r="37" spans="1:8" ht="14" x14ac:dyDescent="0.3">
      <c r="A37" s="131"/>
      <c r="B37" s="132" t="s">
        <v>277</v>
      </c>
      <c r="C37" s="142"/>
      <c r="D37" s="653"/>
      <c r="E37" s="131"/>
      <c r="F37" s="131"/>
      <c r="G37" s="131"/>
      <c r="H37" s="131"/>
    </row>
    <row r="38" spans="1:8" ht="14" x14ac:dyDescent="0.3">
      <c r="A38" s="131"/>
      <c r="B38" s="133" t="s">
        <v>276</v>
      </c>
      <c r="C38" s="143" t="s">
        <v>275</v>
      </c>
      <c r="D38" s="650" t="s">
        <v>269</v>
      </c>
      <c r="E38" s="135" t="s">
        <v>274</v>
      </c>
      <c r="F38" s="131"/>
      <c r="G38" s="131"/>
      <c r="H38" s="131"/>
    </row>
    <row r="39" spans="1:8" ht="14" x14ac:dyDescent="0.3">
      <c r="A39" s="131"/>
      <c r="B39" s="139" t="s">
        <v>273</v>
      </c>
      <c r="C39" s="140" t="s">
        <v>272</v>
      </c>
      <c r="D39" s="652">
        <v>0.25</v>
      </c>
      <c r="E39" s="141" t="s">
        <v>271</v>
      </c>
      <c r="F39" s="131"/>
      <c r="G39" s="131"/>
      <c r="H39" s="131"/>
    </row>
    <row r="40" spans="1:8" ht="14" x14ac:dyDescent="0.3">
      <c r="A40" s="131"/>
      <c r="B40" s="131"/>
      <c r="C40" s="131"/>
      <c r="D40" s="649"/>
      <c r="E40" s="131"/>
      <c r="F40" s="131"/>
      <c r="G40" s="131"/>
      <c r="H40" s="131"/>
    </row>
    <row r="41" spans="1:8" ht="14" x14ac:dyDescent="0.3">
      <c r="A41" s="131"/>
      <c r="B41" s="132" t="s">
        <v>270</v>
      </c>
      <c r="C41" s="131"/>
      <c r="D41" s="649"/>
      <c r="E41" s="131"/>
      <c r="F41" s="131"/>
      <c r="G41" s="131"/>
      <c r="H41" s="131"/>
    </row>
    <row r="42" spans="1:8" ht="14" x14ac:dyDescent="0.3">
      <c r="A42" s="131"/>
      <c r="B42" s="133" t="s">
        <v>270</v>
      </c>
      <c r="C42" s="135" t="s">
        <v>269</v>
      </c>
      <c r="D42" s="649"/>
      <c r="E42" s="131"/>
      <c r="F42" s="131"/>
      <c r="G42" s="131"/>
      <c r="H42" s="131"/>
    </row>
    <row r="43" spans="1:8" ht="14" x14ac:dyDescent="0.3">
      <c r="A43" s="131"/>
      <c r="B43" s="139" t="s">
        <v>268</v>
      </c>
      <c r="C43" s="152">
        <v>3600</v>
      </c>
      <c r="D43" s="649"/>
      <c r="E43" s="131"/>
      <c r="F43" s="131"/>
      <c r="G43" s="131"/>
      <c r="H43" s="131"/>
    </row>
    <row r="44" spans="1:8" ht="14" x14ac:dyDescent="0.3">
      <c r="A44" s="131"/>
      <c r="B44" s="139" t="s">
        <v>267</v>
      </c>
      <c r="C44" s="152">
        <v>2.2050000000000001</v>
      </c>
      <c r="D44" s="649"/>
      <c r="E44" s="131"/>
      <c r="F44" s="131"/>
      <c r="G44" s="131"/>
      <c r="H44" s="131"/>
    </row>
    <row r="45" spans="1:8" ht="16" x14ac:dyDescent="0.3">
      <c r="A45" s="131"/>
      <c r="B45" s="139" t="s">
        <v>266</v>
      </c>
      <c r="C45" s="152">
        <v>35.328000000000003</v>
      </c>
      <c r="D45" s="649"/>
      <c r="E45" s="131"/>
      <c r="F45" s="153"/>
      <c r="G45" s="153"/>
      <c r="H45" s="153"/>
    </row>
    <row r="46" spans="1:8" ht="14" x14ac:dyDescent="0.3">
      <c r="A46" s="131"/>
      <c r="B46" s="139" t="s">
        <v>265</v>
      </c>
      <c r="C46" s="152">
        <v>3412.1419999999998</v>
      </c>
      <c r="D46" s="649"/>
      <c r="E46" s="131"/>
      <c r="F46" s="131"/>
      <c r="G46" s="131"/>
      <c r="H46" s="131"/>
    </row>
    <row r="47" spans="1:8" ht="14" x14ac:dyDescent="0.3">
      <c r="A47" s="131"/>
      <c r="B47" s="139" t="s">
        <v>264</v>
      </c>
      <c r="C47" s="152">
        <v>947.81700000000001</v>
      </c>
      <c r="D47" s="649"/>
      <c r="E47" s="131"/>
      <c r="F47" s="131"/>
      <c r="G47" s="131"/>
      <c r="H47" s="131"/>
    </row>
    <row r="48" spans="1:8" ht="14" x14ac:dyDescent="0.3">
      <c r="A48" s="131"/>
      <c r="B48" s="139" t="s">
        <v>263</v>
      </c>
      <c r="C48" s="154">
        <f>1/C47</f>
        <v>1.055055986545926E-3</v>
      </c>
      <c r="D48" s="649"/>
      <c r="E48" s="131"/>
      <c r="F48" s="131"/>
      <c r="G48" s="131"/>
      <c r="H48" s="153"/>
    </row>
    <row r="49" spans="1:8" ht="14.5" x14ac:dyDescent="0.3">
      <c r="A49" s="131"/>
      <c r="B49" s="139" t="s">
        <v>262</v>
      </c>
      <c r="C49" s="152">
        <v>264.17200000000003</v>
      </c>
      <c r="D49" s="649"/>
      <c r="E49" s="131"/>
      <c r="F49" s="153"/>
      <c r="G49" s="131"/>
      <c r="H49" s="131"/>
    </row>
    <row r="50" spans="1:8" ht="14" x14ac:dyDescent="0.3">
      <c r="A50" s="131"/>
      <c r="B50" s="139" t="s">
        <v>261</v>
      </c>
      <c r="C50" s="155">
        <v>1.0549128699999999</v>
      </c>
      <c r="D50" s="649"/>
      <c r="E50" s="131"/>
      <c r="F50" s="153"/>
      <c r="G50" s="131"/>
      <c r="H50" s="131"/>
    </row>
    <row r="51" spans="1:8" ht="14" x14ac:dyDescent="0.3">
      <c r="A51" s="131"/>
      <c r="B51" s="139"/>
      <c r="C51" s="152"/>
      <c r="D51" s="649"/>
      <c r="E51" s="131"/>
      <c r="F51" s="131"/>
      <c r="G51" s="131"/>
      <c r="H51" s="131"/>
    </row>
    <row r="57" spans="1:8" ht="20.25" customHeight="1" x14ac:dyDescent="0.25">
      <c r="B57" s="775" t="s">
        <v>135</v>
      </c>
      <c r="C57" s="776" t="s">
        <v>136</v>
      </c>
      <c r="D57" s="687" t="s">
        <v>829</v>
      </c>
      <c r="E57" s="687" t="s">
        <v>831</v>
      </c>
      <c r="F57" s="687" t="s">
        <v>832</v>
      </c>
      <c r="G57" s="694" t="s">
        <v>841</v>
      </c>
    </row>
    <row r="58" spans="1:8" ht="18.75" customHeight="1" x14ac:dyDescent="0.25">
      <c r="B58" s="775"/>
      <c r="C58" s="776"/>
      <c r="D58" s="687" t="s">
        <v>830</v>
      </c>
      <c r="E58" s="687" t="s">
        <v>830</v>
      </c>
      <c r="F58" s="687" t="s">
        <v>830</v>
      </c>
      <c r="G58" s="694" t="s">
        <v>842</v>
      </c>
    </row>
    <row r="59" spans="1:8" ht="15.5" x14ac:dyDescent="0.25">
      <c r="B59" s="688" t="s">
        <v>140</v>
      </c>
      <c r="C59" s="689" t="s">
        <v>260</v>
      </c>
      <c r="D59" s="691">
        <v>0.35</v>
      </c>
      <c r="E59" s="691">
        <v>0.95</v>
      </c>
      <c r="F59" s="691">
        <v>0.52300000000000002</v>
      </c>
      <c r="G59" s="690">
        <v>340</v>
      </c>
    </row>
    <row r="60" spans="1:8" ht="15.5" x14ac:dyDescent="0.25">
      <c r="B60" s="688" t="s">
        <v>787</v>
      </c>
      <c r="C60" s="689" t="s">
        <v>260</v>
      </c>
      <c r="D60" s="691">
        <v>0.32</v>
      </c>
      <c r="E60" s="691">
        <v>0.97</v>
      </c>
      <c r="F60" s="691">
        <v>0.52</v>
      </c>
      <c r="G60" s="690">
        <v>370</v>
      </c>
    </row>
    <row r="61" spans="1:8" ht="15.5" x14ac:dyDescent="0.25">
      <c r="B61" s="688" t="s">
        <v>141</v>
      </c>
      <c r="C61" s="689" t="s">
        <v>260</v>
      </c>
      <c r="D61" s="691">
        <v>0.35</v>
      </c>
      <c r="E61" s="691">
        <v>0.93</v>
      </c>
      <c r="F61" s="691">
        <v>0.53</v>
      </c>
      <c r="G61" s="690">
        <v>318</v>
      </c>
    </row>
    <row r="62" spans="1:8" ht="15.5" x14ac:dyDescent="0.25">
      <c r="B62" s="688" t="s">
        <v>824</v>
      </c>
      <c r="C62" s="689" t="s">
        <v>260</v>
      </c>
      <c r="D62" s="691">
        <v>0.35</v>
      </c>
      <c r="E62" s="691">
        <v>0.93</v>
      </c>
      <c r="F62" s="691">
        <v>0.53</v>
      </c>
      <c r="G62" s="690">
        <v>318</v>
      </c>
    </row>
    <row r="63" spans="1:8" ht="15.5" x14ac:dyDescent="0.25">
      <c r="B63" s="621" t="s">
        <v>98</v>
      </c>
      <c r="C63" s="689" t="s">
        <v>693</v>
      </c>
      <c r="D63" s="691">
        <v>0.86880000000000002</v>
      </c>
      <c r="E63" s="691">
        <v>0.91559999999999997</v>
      </c>
      <c r="F63" s="691">
        <v>0.61</v>
      </c>
      <c r="G63" s="690">
        <v>300</v>
      </c>
    </row>
    <row r="64" spans="1:8" ht="15.5" x14ac:dyDescent="0.25">
      <c r="B64" s="688" t="s">
        <v>788</v>
      </c>
      <c r="C64" s="689" t="s">
        <v>693</v>
      </c>
      <c r="D64" s="691">
        <v>0.25</v>
      </c>
      <c r="E64" s="691">
        <v>0.8</v>
      </c>
      <c r="F64" s="691">
        <v>0.52500000000000002</v>
      </c>
      <c r="G64" s="690">
        <v>248</v>
      </c>
    </row>
    <row r="65" spans="2:7" ht="15.5" x14ac:dyDescent="0.25">
      <c r="B65" s="688" t="s">
        <v>833</v>
      </c>
      <c r="C65" s="689" t="s">
        <v>693</v>
      </c>
      <c r="D65" s="691">
        <v>0.11</v>
      </c>
      <c r="E65" s="691">
        <v>0.9</v>
      </c>
      <c r="F65" s="691">
        <v>0.55000000000000004</v>
      </c>
      <c r="G65" s="690">
        <v>164</v>
      </c>
    </row>
    <row r="66" spans="2:7" ht="15.5" x14ac:dyDescent="0.25">
      <c r="B66" s="688" t="s">
        <v>834</v>
      </c>
      <c r="C66" s="689" t="s">
        <v>693</v>
      </c>
      <c r="D66" s="691">
        <v>0.61</v>
      </c>
      <c r="E66" s="691">
        <v>0.87</v>
      </c>
      <c r="F66" s="691">
        <v>0.68</v>
      </c>
      <c r="G66" s="690">
        <v>323</v>
      </c>
    </row>
    <row r="67" spans="2:7" ht="15.5" x14ac:dyDescent="0.25">
      <c r="B67" s="688" t="s">
        <v>835</v>
      </c>
      <c r="C67" s="689" t="s">
        <v>693</v>
      </c>
      <c r="D67" s="691">
        <v>0.06</v>
      </c>
      <c r="E67" s="691">
        <v>0.8</v>
      </c>
      <c r="F67" s="691">
        <v>0.6</v>
      </c>
      <c r="G67" s="690">
        <v>420</v>
      </c>
    </row>
    <row r="68" spans="2:7" ht="15.5" x14ac:dyDescent="0.25">
      <c r="B68" s="688" t="s">
        <v>836</v>
      </c>
      <c r="C68" s="689" t="s">
        <v>693</v>
      </c>
      <c r="D68" s="691">
        <v>0.2114</v>
      </c>
      <c r="E68" s="691">
        <v>0.97089999999999999</v>
      </c>
      <c r="F68" s="691">
        <v>0.64</v>
      </c>
      <c r="G68" s="690">
        <v>413</v>
      </c>
    </row>
    <row r="69" spans="2:7" ht="15.5" x14ac:dyDescent="0.25">
      <c r="B69" s="688" t="s">
        <v>837</v>
      </c>
      <c r="C69" s="689" t="s">
        <v>693</v>
      </c>
      <c r="D69" s="691">
        <v>5.0200000000000002E-2</v>
      </c>
      <c r="E69" s="691">
        <v>0.92190000000000005</v>
      </c>
      <c r="F69" s="691">
        <v>0.63</v>
      </c>
      <c r="G69" s="690">
        <v>443</v>
      </c>
    </row>
    <row r="70" spans="2:7" ht="15.5" x14ac:dyDescent="0.25">
      <c r="B70" s="688" t="s">
        <v>732</v>
      </c>
      <c r="C70" s="689" t="s">
        <v>693</v>
      </c>
      <c r="D70" s="691">
        <v>0.4113</v>
      </c>
      <c r="E70" s="691">
        <v>0.91239999999999999</v>
      </c>
      <c r="F70" s="691">
        <v>0.31</v>
      </c>
      <c r="G70" s="690">
        <v>432</v>
      </c>
    </row>
    <row r="71" spans="2:7" ht="15.5" x14ac:dyDescent="0.35">
      <c r="B71" s="692" t="s">
        <v>838</v>
      </c>
      <c r="C71" s="689" t="s">
        <v>693</v>
      </c>
      <c r="D71" s="693">
        <v>0.78720000000000001</v>
      </c>
      <c r="E71" s="693">
        <v>0.95340000000000003</v>
      </c>
      <c r="F71" s="693">
        <v>0.62</v>
      </c>
      <c r="G71" s="689">
        <v>328</v>
      </c>
    </row>
    <row r="72" spans="2:7" ht="15.5" x14ac:dyDescent="0.35">
      <c r="B72" s="692" t="s">
        <v>839</v>
      </c>
      <c r="C72" s="689" t="s">
        <v>693</v>
      </c>
      <c r="D72" s="693">
        <v>1.7000000000000001E-2</v>
      </c>
      <c r="E72" s="693">
        <v>0.81</v>
      </c>
      <c r="F72" s="693">
        <v>0.65</v>
      </c>
      <c r="G72" s="689">
        <v>129</v>
      </c>
    </row>
    <row r="73" spans="2:7" ht="15.5" x14ac:dyDescent="0.35">
      <c r="B73" s="692" t="s">
        <v>828</v>
      </c>
      <c r="C73" s="689" t="s">
        <v>693</v>
      </c>
      <c r="D73" s="693">
        <v>0.5</v>
      </c>
      <c r="E73" s="693">
        <v>0.8</v>
      </c>
      <c r="F73" s="693">
        <v>0.56000000000000005</v>
      </c>
      <c r="G73" s="689">
        <v>280</v>
      </c>
    </row>
    <row r="74" spans="2:7" ht="15.5" x14ac:dyDescent="0.35">
      <c r="B74" s="692" t="s">
        <v>840</v>
      </c>
      <c r="C74" s="689" t="s">
        <v>693</v>
      </c>
      <c r="D74" s="693">
        <v>0.08</v>
      </c>
      <c r="E74" s="693">
        <v>0.87</v>
      </c>
      <c r="F74" s="693">
        <v>0.55000000000000004</v>
      </c>
      <c r="G74" s="689">
        <v>180</v>
      </c>
    </row>
  </sheetData>
  <mergeCells count="2">
    <mergeCell ref="B57:B58"/>
    <mergeCell ref="C57:C58"/>
  </mergeCells>
  <hyperlinks>
    <hyperlink ref="E17" r:id="rId1" xr:uid="{D78E69EB-6734-4C90-9376-800507A3AC19}"/>
    <hyperlink ref="H17" r:id="rId2" xr:uid="{30A7345F-D7EB-40A9-B669-7D8127B68116}"/>
    <hyperlink ref="E18" r:id="rId3" xr:uid="{EE9674DE-FA41-4313-BEC6-8694798E98E7}"/>
    <hyperlink ref="E20" r:id="rId4" xr:uid="{BEAA7BAA-DE70-4686-AD62-D8C3F5E3FA47}"/>
    <hyperlink ref="E30" r:id="rId5" xr:uid="{FB630CB7-DE48-493F-9B4D-56F7DC2E8777}"/>
    <hyperlink ref="E15" r:id="rId6" xr:uid="{B4B1D00B-5753-499C-B4A1-D3B44758E3E4}"/>
  </hyperlinks>
  <pageMargins left="0.7" right="0.7" top="0.75" bottom="0.75" header="0.3" footer="0.3"/>
  <tableParts count="6">
    <tablePart r:id="rId7"/>
    <tablePart r:id="rId8"/>
    <tablePart r:id="rId9"/>
    <tablePart r:id="rId10"/>
    <tablePart r:id="rId11"/>
    <tablePart r:id="rId1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AAF4-980B-41FE-95C2-E651504C873D}">
  <sheetPr codeName="Sheet8"/>
  <dimension ref="A1:S693"/>
  <sheetViews>
    <sheetView zoomScale="112" zoomScaleNormal="130" workbookViewId="0">
      <pane xSplit="3" topLeftCell="D1" activePane="topRight" state="frozen"/>
      <selection pane="topRight" activeCell="H17" sqref="H17"/>
    </sheetView>
  </sheetViews>
  <sheetFormatPr defaultRowHeight="14.5" x14ac:dyDescent="0.35"/>
  <cols>
    <col min="1" max="1" width="15" customWidth="1"/>
    <col min="2" max="2" width="18.453125" customWidth="1"/>
    <col min="3" max="3" width="17.453125" customWidth="1"/>
    <col min="4" max="4" width="16.54296875" customWidth="1"/>
    <col min="5" max="5" width="13.54296875" customWidth="1"/>
    <col min="6" max="6" width="22" style="8" customWidth="1"/>
    <col min="7" max="7" width="24.54296875" style="8" customWidth="1"/>
    <col min="8" max="8" width="17.453125" style="3" customWidth="1"/>
    <col min="9" max="9" width="17.54296875" style="10" customWidth="1"/>
    <col min="10" max="10" width="17.453125" style="3" customWidth="1"/>
    <col min="11" max="11" width="14.54296875" style="10" customWidth="1"/>
    <col min="12" max="12" width="70.453125" customWidth="1"/>
    <col min="13" max="13" width="21.453125" customWidth="1"/>
    <col min="16" max="17" width="15.81640625" bestFit="1" customWidth="1"/>
    <col min="18" max="19" width="15.54296875" bestFit="1" customWidth="1"/>
  </cols>
  <sheetData>
    <row r="1" spans="1:19" x14ac:dyDescent="0.35">
      <c r="A1" s="1" t="s">
        <v>0</v>
      </c>
      <c r="B1" s="1" t="s">
        <v>1</v>
      </c>
      <c r="C1" s="1" t="s">
        <v>2</v>
      </c>
      <c r="D1" s="1" t="s">
        <v>3</v>
      </c>
      <c r="E1" s="1" t="s">
        <v>4</v>
      </c>
      <c r="F1" s="7" t="s">
        <v>5</v>
      </c>
      <c r="G1" s="7" t="s">
        <v>163</v>
      </c>
      <c r="H1" s="777" t="s">
        <v>586</v>
      </c>
      <c r="I1" s="9" t="s">
        <v>6</v>
      </c>
      <c r="J1" s="2" t="s">
        <v>248</v>
      </c>
      <c r="K1" s="9" t="s">
        <v>7</v>
      </c>
      <c r="L1" s="1" t="s">
        <v>8</v>
      </c>
      <c r="M1" s="1" t="s">
        <v>9</v>
      </c>
      <c r="P1" s="2" t="s">
        <v>249</v>
      </c>
      <c r="Q1" s="2" t="s">
        <v>249</v>
      </c>
      <c r="R1" s="2" t="s">
        <v>248</v>
      </c>
      <c r="S1" s="2" t="s">
        <v>248</v>
      </c>
    </row>
    <row r="2" spans="1:19" x14ac:dyDescent="0.35">
      <c r="A2" s="1"/>
      <c r="B2" s="1"/>
      <c r="C2" s="1"/>
      <c r="D2" s="1"/>
      <c r="E2" s="1"/>
      <c r="F2" s="7"/>
      <c r="G2" s="7"/>
      <c r="H2" s="778"/>
      <c r="I2" s="9"/>
      <c r="J2" s="248" t="s">
        <v>572</v>
      </c>
      <c r="K2" s="9"/>
      <c r="L2" s="1"/>
      <c r="M2" s="1"/>
      <c r="P2" s="248" t="s">
        <v>573</v>
      </c>
      <c r="Q2" s="248" t="s">
        <v>574</v>
      </c>
      <c r="R2" s="248" t="s">
        <v>573</v>
      </c>
      <c r="S2" s="248" t="s">
        <v>574</v>
      </c>
    </row>
    <row r="3" spans="1:19" ht="16.5" x14ac:dyDescent="0.35">
      <c r="A3" t="s">
        <v>10</v>
      </c>
      <c r="B3" t="s">
        <v>10</v>
      </c>
      <c r="C3" t="s">
        <v>11</v>
      </c>
      <c r="D3" t="s">
        <v>12</v>
      </c>
      <c r="E3">
        <v>1581</v>
      </c>
      <c r="F3" s="8">
        <f>(E3/N3)</f>
        <v>139.17253521126761</v>
      </c>
      <c r="G3" s="8">
        <f>F3*1.1</f>
        <v>153.0897887323944</v>
      </c>
      <c r="H3" s="3">
        <v>0.40200000000000002</v>
      </c>
      <c r="I3" s="10">
        <v>635</v>
      </c>
      <c r="J3" s="3">
        <v>0.44</v>
      </c>
      <c r="K3" s="10">
        <v>695</v>
      </c>
      <c r="L3" s="6" t="s">
        <v>13</v>
      </c>
      <c r="M3" t="s">
        <v>14</v>
      </c>
      <c r="N3">
        <v>11.36</v>
      </c>
      <c r="O3" t="s">
        <v>15</v>
      </c>
      <c r="P3" s="32">
        <v>0.39100000000000001</v>
      </c>
      <c r="Q3" s="32">
        <v>0.36899999999999999</v>
      </c>
      <c r="R3" s="32">
        <v>0.46300000000000002</v>
      </c>
      <c r="S3" s="32">
        <v>0.49099999999999999</v>
      </c>
    </row>
    <row r="4" spans="1:19" x14ac:dyDescent="0.35">
      <c r="A4" t="s">
        <v>10</v>
      </c>
      <c r="B4" t="s">
        <v>10</v>
      </c>
      <c r="C4" t="s">
        <v>16</v>
      </c>
      <c r="D4" t="s">
        <v>12</v>
      </c>
      <c r="E4">
        <v>2113</v>
      </c>
      <c r="F4" s="8">
        <f>(E4/N3)</f>
        <v>186.00352112676057</v>
      </c>
      <c r="G4" s="8">
        <f t="shared" ref="G4:G12" si="0">F4*1.1</f>
        <v>204.60387323943664</v>
      </c>
      <c r="H4" s="3">
        <v>0.40300000000000002</v>
      </c>
      <c r="I4" s="10">
        <v>851</v>
      </c>
      <c r="J4" s="3">
        <v>0.44500000000000001</v>
      </c>
      <c r="K4" s="10">
        <v>940</v>
      </c>
      <c r="L4" s="6" t="s">
        <v>17</v>
      </c>
      <c r="M4" t="s">
        <v>18</v>
      </c>
      <c r="N4" s="5">
        <v>0.55000000000000004</v>
      </c>
      <c r="P4" s="32">
        <v>0.39600000000000002</v>
      </c>
      <c r="Q4" s="32">
        <v>0.372</v>
      </c>
      <c r="R4" s="32">
        <v>0.44800000000000001</v>
      </c>
      <c r="S4" s="32">
        <v>0.47099999999999997</v>
      </c>
    </row>
    <row r="5" spans="1:19" x14ac:dyDescent="0.35">
      <c r="A5" t="s">
        <v>10</v>
      </c>
      <c r="B5" t="s">
        <v>10</v>
      </c>
      <c r="C5" t="s">
        <v>19</v>
      </c>
      <c r="D5" t="s">
        <v>12</v>
      </c>
      <c r="E5">
        <v>2622</v>
      </c>
      <c r="F5" s="8">
        <f>E5/N3</f>
        <v>230.8098591549296</v>
      </c>
      <c r="G5" s="8">
        <f t="shared" si="0"/>
        <v>253.89084507042259</v>
      </c>
      <c r="H5" s="3">
        <v>0.40699999999999997</v>
      </c>
      <c r="I5" s="10">
        <v>1067</v>
      </c>
      <c r="J5" s="3">
        <v>0.439</v>
      </c>
      <c r="K5" s="10">
        <v>1152</v>
      </c>
      <c r="L5" s="6" t="s">
        <v>20</v>
      </c>
      <c r="P5" s="32">
        <v>0.39600000000000002</v>
      </c>
      <c r="Q5" s="32">
        <v>0.372</v>
      </c>
      <c r="R5" s="32">
        <v>0.45300000000000001</v>
      </c>
      <c r="S5" s="32">
        <v>0.48</v>
      </c>
    </row>
    <row r="6" spans="1:19" x14ac:dyDescent="0.35">
      <c r="A6" t="s">
        <v>10</v>
      </c>
      <c r="B6" t="s">
        <v>10</v>
      </c>
      <c r="C6" t="s">
        <v>21</v>
      </c>
      <c r="D6" t="s">
        <v>12</v>
      </c>
      <c r="E6">
        <v>2114</v>
      </c>
      <c r="F6" s="8">
        <f>E6/N3</f>
        <v>186.09154929577466</v>
      </c>
      <c r="G6" s="8">
        <f t="shared" si="0"/>
        <v>204.70070422535213</v>
      </c>
      <c r="H6" s="3">
        <v>0.42599999999999999</v>
      </c>
      <c r="I6" s="10">
        <v>900</v>
      </c>
      <c r="J6" s="206">
        <v>0.43</v>
      </c>
      <c r="K6" s="10">
        <v>908</v>
      </c>
      <c r="L6" s="6" t="s">
        <v>22</v>
      </c>
      <c r="N6">
        <f>(G8*N3)*H8</f>
        <v>1647.7076</v>
      </c>
      <c r="P6" s="32">
        <v>0.41299999999999998</v>
      </c>
      <c r="Q6" s="32">
        <v>0.38900000000000001</v>
      </c>
      <c r="R6" s="32">
        <v>0.438</v>
      </c>
      <c r="S6" s="32">
        <v>0.46</v>
      </c>
    </row>
    <row r="7" spans="1:19" x14ac:dyDescent="0.35">
      <c r="A7" t="s">
        <v>10</v>
      </c>
      <c r="B7" t="s">
        <v>10</v>
      </c>
      <c r="C7" t="s">
        <v>23</v>
      </c>
      <c r="D7" t="s">
        <v>12</v>
      </c>
      <c r="E7">
        <v>2810</v>
      </c>
      <c r="F7" s="8">
        <f>E7/N3</f>
        <v>247.35915492957747</v>
      </c>
      <c r="G7" s="8">
        <f t="shared" si="0"/>
        <v>272.09507042253523</v>
      </c>
      <c r="H7" s="3">
        <v>0.42799999999999999</v>
      </c>
      <c r="I7" s="10">
        <v>1202</v>
      </c>
      <c r="J7" s="3">
        <v>0.43</v>
      </c>
      <c r="K7" s="10">
        <v>1207</v>
      </c>
      <c r="L7" s="6" t="s">
        <v>24</v>
      </c>
      <c r="P7" s="32">
        <v>0.41599999999999998</v>
      </c>
      <c r="Q7" s="32">
        <v>0.39300000000000002</v>
      </c>
      <c r="R7" s="32">
        <v>0.438</v>
      </c>
      <c r="S7" s="32">
        <v>0.46</v>
      </c>
    </row>
    <row r="8" spans="1:19" x14ac:dyDescent="0.35">
      <c r="A8" t="s">
        <v>10</v>
      </c>
      <c r="B8" t="s">
        <v>10</v>
      </c>
      <c r="C8" t="s">
        <v>25</v>
      </c>
      <c r="D8" t="s">
        <v>12</v>
      </c>
      <c r="E8">
        <v>3508</v>
      </c>
      <c r="F8" s="8">
        <f>E8/N3</f>
        <v>308.80281690140845</v>
      </c>
      <c r="G8" s="8">
        <f t="shared" si="0"/>
        <v>339.68309859154931</v>
      </c>
      <c r="H8" s="3">
        <v>0.42699999999999999</v>
      </c>
      <c r="I8" s="10">
        <v>1499</v>
      </c>
      <c r="J8" s="3">
        <v>0.42899999999999999</v>
      </c>
      <c r="K8" s="10">
        <v>1506</v>
      </c>
      <c r="L8" s="6" t="s">
        <v>26</v>
      </c>
      <c r="P8" s="32">
        <v>0.41499999999999998</v>
      </c>
      <c r="Q8" s="32">
        <v>0.39100000000000001</v>
      </c>
      <c r="R8" s="32">
        <v>0.439</v>
      </c>
      <c r="S8" s="32">
        <v>0.46100000000000002</v>
      </c>
    </row>
    <row r="9" spans="1:19" x14ac:dyDescent="0.35">
      <c r="A9" t="s">
        <v>10</v>
      </c>
      <c r="B9" t="s">
        <v>10</v>
      </c>
      <c r="C9" t="s">
        <v>27</v>
      </c>
      <c r="D9" t="s">
        <v>12</v>
      </c>
      <c r="E9">
        <v>4142</v>
      </c>
      <c r="F9" s="8">
        <f>E9/N3</f>
        <v>364.61267605633805</v>
      </c>
      <c r="G9" s="8">
        <f t="shared" si="0"/>
        <v>401.0739436619719</v>
      </c>
      <c r="H9" s="3">
        <v>0.439</v>
      </c>
      <c r="I9" s="10">
        <v>1817</v>
      </c>
      <c r="J9" s="3">
        <v>0.41299999999999998</v>
      </c>
      <c r="K9" s="10">
        <v>1711</v>
      </c>
      <c r="L9" s="6" t="s">
        <v>28</v>
      </c>
      <c r="P9" s="32">
        <v>0.42399999999999999</v>
      </c>
      <c r="Q9" s="32">
        <v>0.39800000000000002</v>
      </c>
      <c r="R9" s="32">
        <v>0.42799999999999999</v>
      </c>
      <c r="S9" s="32">
        <v>0.44600000000000001</v>
      </c>
    </row>
    <row r="10" spans="1:19" x14ac:dyDescent="0.35">
      <c r="A10" t="s">
        <v>10</v>
      </c>
      <c r="B10" t="s">
        <v>10</v>
      </c>
      <c r="C10" t="s">
        <v>29</v>
      </c>
      <c r="D10" t="s">
        <v>12</v>
      </c>
      <c r="E10">
        <v>5523</v>
      </c>
      <c r="F10" s="8">
        <f>E10/N3</f>
        <v>486.17957746478874</v>
      </c>
      <c r="G10" s="8">
        <f t="shared" si="0"/>
        <v>534.7975352112677</v>
      </c>
      <c r="H10" s="3">
        <v>0.44</v>
      </c>
      <c r="I10" s="10">
        <v>2430</v>
      </c>
      <c r="J10" s="3">
        <v>0.41299999999999998</v>
      </c>
      <c r="K10" s="10">
        <v>2283</v>
      </c>
      <c r="L10" s="6" t="s">
        <v>30</v>
      </c>
      <c r="P10" s="32">
        <v>0.42599999999999999</v>
      </c>
      <c r="Q10" s="32">
        <v>0.39900000000000002</v>
      </c>
      <c r="R10" s="32">
        <v>0.42799999999999999</v>
      </c>
      <c r="S10" s="32">
        <v>0.44600000000000001</v>
      </c>
    </row>
    <row r="11" spans="1:19" x14ac:dyDescent="0.35">
      <c r="A11" t="s">
        <v>31</v>
      </c>
      <c r="B11" t="s">
        <v>32</v>
      </c>
      <c r="C11" t="s">
        <v>33</v>
      </c>
      <c r="D11" t="s">
        <v>12</v>
      </c>
      <c r="E11">
        <v>2429</v>
      </c>
      <c r="F11" s="8">
        <f>E11/N3</f>
        <v>213.82042253521126</v>
      </c>
      <c r="G11" s="8">
        <f t="shared" si="0"/>
        <v>235.20246478873241</v>
      </c>
      <c r="H11" s="3">
        <v>0.41199999999999998</v>
      </c>
      <c r="I11" s="10">
        <v>1000</v>
      </c>
      <c r="J11" s="3">
        <v>0.436</v>
      </c>
      <c r="K11" s="10">
        <v>1060</v>
      </c>
      <c r="L11" s="6" t="s">
        <v>34</v>
      </c>
      <c r="P11" s="32">
        <v>0.4</v>
      </c>
      <c r="Q11" s="32">
        <v>0.377</v>
      </c>
      <c r="R11" s="32">
        <v>0.437</v>
      </c>
      <c r="S11" s="32">
        <v>0.45200000000000001</v>
      </c>
    </row>
    <row r="12" spans="1:19" x14ac:dyDescent="0.35">
      <c r="A12" t="s">
        <v>31</v>
      </c>
      <c r="B12" t="s">
        <v>35</v>
      </c>
      <c r="C12" t="s">
        <v>36</v>
      </c>
      <c r="D12" t="s">
        <v>12</v>
      </c>
      <c r="E12">
        <v>3557</v>
      </c>
      <c r="F12" s="8">
        <f>E12/N3</f>
        <v>313.11619718309862</v>
      </c>
      <c r="G12" s="8">
        <f t="shared" si="0"/>
        <v>344.42781690140851</v>
      </c>
      <c r="H12" s="3">
        <v>0.42799999999999999</v>
      </c>
      <c r="I12" s="10">
        <v>1521</v>
      </c>
      <c r="J12" s="3">
        <v>0.45200000000000001</v>
      </c>
      <c r="K12" s="10">
        <v>828</v>
      </c>
      <c r="L12" s="6" t="s">
        <v>37</v>
      </c>
      <c r="P12" s="32">
        <v>0.41799999999999998</v>
      </c>
      <c r="Q12" s="32">
        <v>0.39700000000000002</v>
      </c>
      <c r="R12" s="250">
        <v>0.46300000000000002</v>
      </c>
      <c r="S12" s="250">
        <v>0.48899999999999999</v>
      </c>
    </row>
    <row r="13" spans="1:19" x14ac:dyDescent="0.35">
      <c r="A13" t="s">
        <v>145</v>
      </c>
      <c r="B13" t="s">
        <v>583</v>
      </c>
      <c r="C13" t="s">
        <v>443</v>
      </c>
      <c r="D13" t="s">
        <v>12</v>
      </c>
      <c r="E13">
        <v>1313</v>
      </c>
      <c r="F13" s="8">
        <f>E13/N3</f>
        <v>115.58098591549296</v>
      </c>
      <c r="G13" s="8">
        <f t="shared" ref="G13:G21" si="1">F13*1.1</f>
        <v>127.13908450704227</v>
      </c>
      <c r="H13" s="3">
        <v>0.40200000000000002</v>
      </c>
      <c r="I13" s="10">
        <v>528</v>
      </c>
      <c r="J13" s="3">
        <v>0.44500000000000001</v>
      </c>
      <c r="K13" s="10">
        <v>584</v>
      </c>
      <c r="L13" s="6" t="s">
        <v>444</v>
      </c>
      <c r="P13" s="32">
        <v>0.38700000000000001</v>
      </c>
      <c r="Q13" s="32">
        <v>0.36599999999999999</v>
      </c>
      <c r="R13" s="32">
        <v>0.44900000000000001</v>
      </c>
      <c r="S13" s="32">
        <v>0.46700000000000003</v>
      </c>
    </row>
    <row r="14" spans="1:19" x14ac:dyDescent="0.35">
      <c r="A14" t="s">
        <v>145</v>
      </c>
      <c r="B14" t="s">
        <v>143</v>
      </c>
      <c r="C14" t="s">
        <v>584</v>
      </c>
      <c r="D14" t="s">
        <v>12</v>
      </c>
      <c r="E14">
        <v>1405</v>
      </c>
      <c r="F14" s="8">
        <f>E14/N3</f>
        <v>123.67957746478874</v>
      </c>
      <c r="G14" s="8">
        <f t="shared" si="1"/>
        <v>136.04753521126761</v>
      </c>
      <c r="H14" s="3">
        <v>0.43</v>
      </c>
      <c r="I14" s="10">
        <v>600</v>
      </c>
      <c r="J14" s="3">
        <v>0.436</v>
      </c>
      <c r="K14" s="10">
        <v>613</v>
      </c>
      <c r="L14" s="6" t="s">
        <v>585</v>
      </c>
      <c r="P14" s="3">
        <v>0.41</v>
      </c>
      <c r="Q14" s="3">
        <v>0.38400000000000001</v>
      </c>
      <c r="R14" s="32">
        <v>0.44900000000000001</v>
      </c>
      <c r="S14" s="32">
        <v>0.46700000000000003</v>
      </c>
    </row>
    <row r="15" spans="1:19" x14ac:dyDescent="0.35">
      <c r="A15" t="s">
        <v>145</v>
      </c>
      <c r="B15" t="s">
        <v>143</v>
      </c>
      <c r="C15" t="s">
        <v>589</v>
      </c>
      <c r="D15" t="s">
        <v>12</v>
      </c>
      <c r="E15">
        <v>1856</v>
      </c>
      <c r="F15" s="253">
        <f>E15/N3</f>
        <v>163.38028169014086</v>
      </c>
      <c r="G15" s="254">
        <f t="shared" si="1"/>
        <v>179.71830985915497</v>
      </c>
      <c r="H15" s="255">
        <v>0.43099999999999999</v>
      </c>
      <c r="I15" s="256">
        <v>800</v>
      </c>
      <c r="J15" s="257">
        <v>0.44</v>
      </c>
      <c r="K15" s="258">
        <v>843</v>
      </c>
      <c r="L15" s="6" t="s">
        <v>144</v>
      </c>
      <c r="P15" s="250">
        <v>0.41599999999999998</v>
      </c>
      <c r="Q15" s="250">
        <v>0.39600000000000002</v>
      </c>
      <c r="R15" s="250">
        <v>0.44800000000000001</v>
      </c>
      <c r="S15" s="250">
        <v>0.46600000000000003</v>
      </c>
    </row>
    <row r="16" spans="1:19" x14ac:dyDescent="0.35">
      <c r="A16" t="s">
        <v>145</v>
      </c>
      <c r="B16" t="s">
        <v>143</v>
      </c>
      <c r="C16" t="s">
        <v>592</v>
      </c>
      <c r="D16" t="s">
        <v>12</v>
      </c>
      <c r="E16">
        <v>2345</v>
      </c>
      <c r="F16" s="8">
        <f>E16/N3</f>
        <v>206.42605633802819</v>
      </c>
      <c r="G16" s="8">
        <f t="shared" si="1"/>
        <v>227.06866197183103</v>
      </c>
      <c r="H16" s="3">
        <v>0.42599999999999999</v>
      </c>
      <c r="I16" s="10">
        <v>999</v>
      </c>
      <c r="J16" s="3">
        <v>0.46400000000000002</v>
      </c>
      <c r="K16" s="10">
        <v>1089</v>
      </c>
      <c r="L16" s="6" t="s">
        <v>444</v>
      </c>
      <c r="P16" s="32">
        <v>0.38700000000000001</v>
      </c>
      <c r="Q16" s="32">
        <v>0.36599999999999999</v>
      </c>
      <c r="R16" s="32">
        <v>0.44900000000000001</v>
      </c>
      <c r="S16" s="32">
        <v>0.46700000000000003</v>
      </c>
    </row>
    <row r="17" spans="1:19" x14ac:dyDescent="0.35">
      <c r="A17" t="s">
        <v>145</v>
      </c>
      <c r="B17" t="s">
        <v>143</v>
      </c>
      <c r="C17" t="s">
        <v>597</v>
      </c>
      <c r="D17" t="s">
        <v>12</v>
      </c>
      <c r="E17">
        <v>2750</v>
      </c>
      <c r="H17" s="3">
        <v>0.436</v>
      </c>
      <c r="I17" s="10">
        <v>1200</v>
      </c>
      <c r="J17" s="3">
        <v>0.47199999999999998</v>
      </c>
      <c r="K17" s="10">
        <v>1297</v>
      </c>
      <c r="L17" s="6"/>
      <c r="P17" s="32">
        <v>0.42399999999999999</v>
      </c>
      <c r="Q17" s="32">
        <v>0.40200000000000002</v>
      </c>
      <c r="R17" s="32">
        <v>0.48099999999999998</v>
      </c>
      <c r="S17" s="32">
        <v>0.497</v>
      </c>
    </row>
    <row r="18" spans="1:19" x14ac:dyDescent="0.35">
      <c r="A18" t="s">
        <v>142</v>
      </c>
      <c r="B18" t="s">
        <v>143</v>
      </c>
      <c r="C18" t="s">
        <v>146</v>
      </c>
      <c r="D18" t="s">
        <v>12</v>
      </c>
      <c r="E18">
        <v>3696</v>
      </c>
      <c r="F18" s="8">
        <f>E18/N3</f>
        <v>325.35211267605638</v>
      </c>
      <c r="G18" s="8">
        <f t="shared" si="1"/>
        <v>357.88732394366207</v>
      </c>
      <c r="H18" s="3">
        <v>0.42599999999999999</v>
      </c>
      <c r="I18" s="10">
        <v>1560</v>
      </c>
      <c r="J18" s="3">
        <v>0.48399999999999999</v>
      </c>
      <c r="K18" s="10">
        <v>1700</v>
      </c>
      <c r="L18" s="6" t="s">
        <v>447</v>
      </c>
      <c r="P18" s="32">
        <v>0.41099999999999998</v>
      </c>
      <c r="Q18" s="32">
        <v>0.39</v>
      </c>
      <c r="R18" s="32">
        <v>0.49199999999999999</v>
      </c>
      <c r="S18" s="32">
        <v>0.51</v>
      </c>
    </row>
    <row r="19" spans="1:19" x14ac:dyDescent="0.35">
      <c r="A19" t="s">
        <v>145</v>
      </c>
      <c r="B19" t="s">
        <v>143</v>
      </c>
      <c r="C19" t="s">
        <v>445</v>
      </c>
      <c r="D19" t="s">
        <v>12</v>
      </c>
      <c r="E19">
        <v>4221</v>
      </c>
      <c r="F19" s="8">
        <f>E19/N3</f>
        <v>371.56690140845075</v>
      </c>
      <c r="G19" s="8">
        <f t="shared" si="1"/>
        <v>408.72359154929586</v>
      </c>
      <c r="H19" s="3">
        <v>0.436</v>
      </c>
      <c r="I19" s="10">
        <v>1840</v>
      </c>
      <c r="J19" s="3">
        <v>0.47299999999999998</v>
      </c>
      <c r="K19" s="10">
        <v>1996</v>
      </c>
      <c r="L19" s="6" t="s">
        <v>446</v>
      </c>
      <c r="P19" s="32">
        <v>0.42299999999999999</v>
      </c>
      <c r="Q19" s="32">
        <v>0.39800000000000002</v>
      </c>
      <c r="R19" s="32">
        <v>0.48399999999999999</v>
      </c>
      <c r="S19" s="32">
        <v>0.502</v>
      </c>
    </row>
    <row r="20" spans="1:19" x14ac:dyDescent="0.35">
      <c r="A20" t="s">
        <v>145</v>
      </c>
      <c r="B20" t="s">
        <v>143</v>
      </c>
      <c r="C20" t="s">
        <v>587</v>
      </c>
      <c r="D20" t="s">
        <v>12</v>
      </c>
      <c r="E20">
        <v>4577</v>
      </c>
      <c r="F20" s="8">
        <f>E20/N3</f>
        <v>402.90492957746483</v>
      </c>
      <c r="G20" s="8">
        <f t="shared" si="1"/>
        <v>443.19542253521132</v>
      </c>
      <c r="H20" s="3">
        <v>0.437</v>
      </c>
      <c r="I20" s="10">
        <v>2000</v>
      </c>
      <c r="J20" s="3">
        <v>0.47099999999999997</v>
      </c>
      <c r="K20" s="10">
        <v>2154</v>
      </c>
      <c r="L20" s="6"/>
      <c r="P20" s="32"/>
      <c r="Q20" s="32"/>
      <c r="R20" s="32"/>
      <c r="S20" s="32"/>
    </row>
    <row r="21" spans="1:19" x14ac:dyDescent="0.35">
      <c r="A21" t="s">
        <v>145</v>
      </c>
      <c r="B21" t="s">
        <v>143</v>
      </c>
      <c r="C21" t="s">
        <v>588</v>
      </c>
      <c r="D21" t="s">
        <v>12</v>
      </c>
      <c r="E21">
        <v>5115</v>
      </c>
      <c r="F21" s="8">
        <f>E21/N3</f>
        <v>450.2640845070423</v>
      </c>
      <c r="G21" s="8">
        <f t="shared" si="1"/>
        <v>495.29049295774655</v>
      </c>
      <c r="H21" s="3">
        <v>0.45</v>
      </c>
      <c r="I21" s="10">
        <v>2300</v>
      </c>
      <c r="J21" s="3">
        <v>0.46</v>
      </c>
      <c r="K21" s="10">
        <v>2354</v>
      </c>
      <c r="L21" s="6"/>
      <c r="P21" s="32"/>
      <c r="Q21" s="32"/>
      <c r="R21" s="32"/>
      <c r="S21" s="32"/>
    </row>
    <row r="22" spans="1:19" s="11" customFormat="1" x14ac:dyDescent="0.35">
      <c r="F22" s="12"/>
      <c r="G22" s="13"/>
      <c r="H22" s="13"/>
      <c r="J22" s="13"/>
    </row>
    <row r="23" spans="1:19" x14ac:dyDescent="0.35">
      <c r="A23" t="s">
        <v>10</v>
      </c>
      <c r="B23" t="s">
        <v>10</v>
      </c>
      <c r="C23" t="s">
        <v>11</v>
      </c>
      <c r="D23" t="s">
        <v>38</v>
      </c>
      <c r="E23">
        <v>1581</v>
      </c>
      <c r="F23" s="8">
        <f t="shared" ref="F23:F30" si="2">F3/0.55</f>
        <v>253.04097311139563</v>
      </c>
      <c r="G23" s="8">
        <f t="shared" ref="G23:G30" si="3">F23*1.1</f>
        <v>278.34507042253523</v>
      </c>
      <c r="H23" s="3">
        <v>0.40200000000000002</v>
      </c>
      <c r="I23" s="10">
        <v>635</v>
      </c>
      <c r="J23" s="3">
        <v>0.44</v>
      </c>
      <c r="K23" s="10">
        <v>695</v>
      </c>
      <c r="L23" s="6" t="s">
        <v>13</v>
      </c>
      <c r="P23" s="32">
        <v>0.39100000000000001</v>
      </c>
      <c r="Q23" s="32">
        <v>0.36899999999999999</v>
      </c>
      <c r="R23" s="32">
        <v>0.46300000000000002</v>
      </c>
      <c r="S23" s="32">
        <v>0.49099999999999999</v>
      </c>
    </row>
    <row r="24" spans="1:19" x14ac:dyDescent="0.35">
      <c r="A24" t="s">
        <v>10</v>
      </c>
      <c r="B24" t="s">
        <v>10</v>
      </c>
      <c r="C24" t="s">
        <v>16</v>
      </c>
      <c r="D24" t="s">
        <v>38</v>
      </c>
      <c r="E24">
        <v>2113</v>
      </c>
      <c r="F24" s="8">
        <f t="shared" si="2"/>
        <v>338.18822023047375</v>
      </c>
      <c r="G24" s="8">
        <f t="shared" si="3"/>
        <v>372.00704225352115</v>
      </c>
      <c r="H24" s="3">
        <v>0.40300000000000002</v>
      </c>
      <c r="I24" s="10">
        <v>851</v>
      </c>
      <c r="J24" s="3">
        <f t="shared" ref="J24:J30" si="4">J4</f>
        <v>0.44500000000000001</v>
      </c>
      <c r="K24" s="10">
        <v>940</v>
      </c>
      <c r="L24" s="6" t="s">
        <v>17</v>
      </c>
      <c r="P24" s="32">
        <v>0.39600000000000002</v>
      </c>
      <c r="Q24" s="32">
        <v>0.372</v>
      </c>
      <c r="R24" s="32">
        <v>0.44800000000000001</v>
      </c>
      <c r="S24" s="32">
        <v>0.47099999999999997</v>
      </c>
    </row>
    <row r="25" spans="1:19" x14ac:dyDescent="0.35">
      <c r="A25" t="s">
        <v>10</v>
      </c>
      <c r="B25" t="s">
        <v>10</v>
      </c>
      <c r="C25" t="s">
        <v>19</v>
      </c>
      <c r="D25" t="s">
        <v>38</v>
      </c>
      <c r="E25">
        <v>2622</v>
      </c>
      <c r="F25" s="8">
        <f t="shared" si="2"/>
        <v>419.65428937259924</v>
      </c>
      <c r="G25" s="8">
        <f t="shared" si="3"/>
        <v>461.61971830985919</v>
      </c>
      <c r="H25" s="3">
        <v>0.40699999999999997</v>
      </c>
      <c r="I25" s="10">
        <v>1067</v>
      </c>
      <c r="J25" s="3">
        <f t="shared" si="4"/>
        <v>0.439</v>
      </c>
      <c r="K25" s="10">
        <v>1152</v>
      </c>
      <c r="L25" s="6" t="s">
        <v>20</v>
      </c>
      <c r="P25" s="32">
        <v>0.39600000000000002</v>
      </c>
      <c r="Q25" s="32">
        <v>0.372</v>
      </c>
      <c r="R25" s="32">
        <v>0.45300000000000001</v>
      </c>
      <c r="S25" s="32">
        <v>0.48</v>
      </c>
    </row>
    <row r="26" spans="1:19" x14ac:dyDescent="0.35">
      <c r="A26" t="s">
        <v>10</v>
      </c>
      <c r="B26" t="s">
        <v>10</v>
      </c>
      <c r="C26" t="s">
        <v>21</v>
      </c>
      <c r="D26" t="s">
        <v>38</v>
      </c>
      <c r="E26">
        <v>2114</v>
      </c>
      <c r="F26" s="8">
        <f t="shared" si="2"/>
        <v>338.34827144686301</v>
      </c>
      <c r="G26" s="8">
        <f t="shared" si="3"/>
        <v>372.18309859154937</v>
      </c>
      <c r="H26" s="3">
        <v>0.42599999999999999</v>
      </c>
      <c r="I26" s="10">
        <v>900</v>
      </c>
      <c r="J26" s="3">
        <f t="shared" si="4"/>
        <v>0.43</v>
      </c>
      <c r="K26" s="10">
        <v>908</v>
      </c>
      <c r="L26" s="6" t="s">
        <v>22</v>
      </c>
      <c r="P26" s="32">
        <v>0.41299999999999998</v>
      </c>
      <c r="Q26" s="32">
        <v>0.38900000000000001</v>
      </c>
      <c r="R26" s="32">
        <v>0.438</v>
      </c>
      <c r="S26" s="32">
        <v>0.46</v>
      </c>
    </row>
    <row r="27" spans="1:19" x14ac:dyDescent="0.35">
      <c r="A27" t="s">
        <v>10</v>
      </c>
      <c r="B27" t="s">
        <v>10</v>
      </c>
      <c r="C27" t="s">
        <v>23</v>
      </c>
      <c r="D27" t="s">
        <v>38</v>
      </c>
      <c r="E27">
        <v>2810</v>
      </c>
      <c r="F27" s="8">
        <f t="shared" si="2"/>
        <v>449.74391805377718</v>
      </c>
      <c r="G27" s="8">
        <f t="shared" si="3"/>
        <v>494.71830985915494</v>
      </c>
      <c r="H27" s="3">
        <v>0.42799999999999999</v>
      </c>
      <c r="I27" s="10">
        <v>1202</v>
      </c>
      <c r="J27" s="3">
        <f t="shared" si="4"/>
        <v>0.43</v>
      </c>
      <c r="K27" s="10">
        <v>1207</v>
      </c>
      <c r="L27" s="6" t="s">
        <v>24</v>
      </c>
      <c r="P27" s="32">
        <v>0.41599999999999998</v>
      </c>
      <c r="Q27" s="32">
        <v>0.39300000000000002</v>
      </c>
      <c r="R27" s="32">
        <v>0.438</v>
      </c>
      <c r="S27" s="32">
        <v>0.46</v>
      </c>
    </row>
    <row r="28" spans="1:19" x14ac:dyDescent="0.35">
      <c r="A28" t="s">
        <v>10</v>
      </c>
      <c r="B28" t="s">
        <v>10</v>
      </c>
      <c r="C28" t="s">
        <v>25</v>
      </c>
      <c r="D28" t="s">
        <v>38</v>
      </c>
      <c r="E28">
        <v>3508</v>
      </c>
      <c r="F28" s="8">
        <f t="shared" si="2"/>
        <v>561.45966709346987</v>
      </c>
      <c r="G28" s="8">
        <f t="shared" si="3"/>
        <v>617.6056338028169</v>
      </c>
      <c r="H28" s="3">
        <v>0.42699999999999999</v>
      </c>
      <c r="I28" s="10">
        <v>1499</v>
      </c>
      <c r="J28" s="3">
        <f t="shared" si="4"/>
        <v>0.42899999999999999</v>
      </c>
      <c r="K28" s="10">
        <v>1506</v>
      </c>
      <c r="L28" s="6" t="s">
        <v>26</v>
      </c>
      <c r="P28" s="32">
        <v>0.41499999999999998</v>
      </c>
      <c r="Q28" s="32">
        <v>0.39100000000000001</v>
      </c>
      <c r="R28" s="32">
        <v>0.439</v>
      </c>
      <c r="S28" s="32">
        <v>0.46100000000000002</v>
      </c>
    </row>
    <row r="29" spans="1:19" x14ac:dyDescent="0.35">
      <c r="A29" t="s">
        <v>10</v>
      </c>
      <c r="B29" t="s">
        <v>10</v>
      </c>
      <c r="C29" t="s">
        <v>27</v>
      </c>
      <c r="D29" t="s">
        <v>38</v>
      </c>
      <c r="E29">
        <v>4142</v>
      </c>
      <c r="F29" s="8">
        <f t="shared" si="2"/>
        <v>662.93213828425098</v>
      </c>
      <c r="G29" s="8">
        <f t="shared" si="3"/>
        <v>729.22535211267609</v>
      </c>
      <c r="H29" s="3">
        <v>0.439</v>
      </c>
      <c r="I29" s="10">
        <v>1817</v>
      </c>
      <c r="J29" s="3">
        <f t="shared" si="4"/>
        <v>0.41299999999999998</v>
      </c>
      <c r="K29" s="10">
        <v>1711</v>
      </c>
      <c r="L29" s="6" t="s">
        <v>28</v>
      </c>
      <c r="P29" s="32">
        <v>0.42399999999999999</v>
      </c>
      <c r="Q29" s="32">
        <v>0.39800000000000002</v>
      </c>
      <c r="R29" s="32">
        <v>0.42799999999999999</v>
      </c>
      <c r="S29" s="32">
        <v>0.44600000000000001</v>
      </c>
    </row>
    <row r="30" spans="1:19" x14ac:dyDescent="0.35">
      <c r="A30" t="s">
        <v>10</v>
      </c>
      <c r="B30" t="s">
        <v>10</v>
      </c>
      <c r="C30" t="s">
        <v>29</v>
      </c>
      <c r="D30" t="s">
        <v>38</v>
      </c>
      <c r="E30">
        <v>5523</v>
      </c>
      <c r="F30" s="8">
        <f t="shared" si="2"/>
        <v>883.9628681177976</v>
      </c>
      <c r="G30" s="8">
        <f t="shared" si="3"/>
        <v>972.35915492957747</v>
      </c>
      <c r="H30" s="3">
        <v>0.44</v>
      </c>
      <c r="I30" s="10">
        <v>2430</v>
      </c>
      <c r="J30" s="3">
        <f t="shared" si="4"/>
        <v>0.41299999999999998</v>
      </c>
      <c r="K30" s="10">
        <v>2283</v>
      </c>
      <c r="L30" s="6" t="s">
        <v>30</v>
      </c>
      <c r="P30" s="32">
        <v>0.42599999999999999</v>
      </c>
      <c r="Q30" s="32">
        <v>0.39900000000000002</v>
      </c>
      <c r="R30" s="32">
        <v>0.42799999999999999</v>
      </c>
      <c r="S30" s="32">
        <v>0.44600000000000001</v>
      </c>
    </row>
    <row r="31" spans="1:19" x14ac:dyDescent="0.35">
      <c r="A31" t="s">
        <v>145</v>
      </c>
      <c r="B31" t="s">
        <v>583</v>
      </c>
      <c r="C31" t="s">
        <v>443</v>
      </c>
      <c r="D31" t="s">
        <v>38</v>
      </c>
      <c r="E31">
        <v>1313</v>
      </c>
      <c r="F31" s="8">
        <f>F13/0.55</f>
        <v>210.14724711907809</v>
      </c>
      <c r="G31" s="8">
        <f t="shared" ref="G31:G39" si="5">F31*1.1</f>
        <v>231.16197183098592</v>
      </c>
      <c r="H31" s="3">
        <v>0.40200000000000002</v>
      </c>
      <c r="I31" s="10">
        <v>528</v>
      </c>
      <c r="J31" s="3">
        <v>0.44500000000000001</v>
      </c>
      <c r="K31" s="10">
        <v>584</v>
      </c>
      <c r="L31" s="6" t="s">
        <v>444</v>
      </c>
      <c r="P31" s="32">
        <v>0.38700000000000001</v>
      </c>
      <c r="Q31" s="32">
        <v>0.36599999999999999</v>
      </c>
      <c r="R31" s="32">
        <v>0.44900000000000001</v>
      </c>
      <c r="S31" s="32">
        <v>0.46700000000000003</v>
      </c>
    </row>
    <row r="32" spans="1:19" x14ac:dyDescent="0.35">
      <c r="A32" t="s">
        <v>145</v>
      </c>
      <c r="B32" t="s">
        <v>143</v>
      </c>
      <c r="C32" t="s">
        <v>584</v>
      </c>
      <c r="D32" t="s">
        <v>38</v>
      </c>
      <c r="E32">
        <v>1405</v>
      </c>
      <c r="F32" s="8">
        <f>F14/0.55</f>
        <v>224.87195902688859</v>
      </c>
      <c r="G32" s="8">
        <f t="shared" si="5"/>
        <v>247.35915492957747</v>
      </c>
      <c r="H32" s="3">
        <v>0.42699999999999999</v>
      </c>
      <c r="I32" s="10">
        <v>600</v>
      </c>
      <c r="J32" s="3">
        <v>0.436</v>
      </c>
      <c r="K32" s="10">
        <v>613</v>
      </c>
      <c r="L32" s="6" t="s">
        <v>585</v>
      </c>
      <c r="P32" s="32">
        <v>0.38700000000000001</v>
      </c>
      <c r="Q32" s="32">
        <v>0.36599999999999999</v>
      </c>
      <c r="R32" s="32">
        <v>0.44900000000000001</v>
      </c>
      <c r="S32" s="32">
        <v>0.46700000000000003</v>
      </c>
    </row>
    <row r="33" spans="1:19" x14ac:dyDescent="0.35">
      <c r="A33" t="s">
        <v>142</v>
      </c>
      <c r="B33" t="s">
        <v>143</v>
      </c>
      <c r="C33" t="s">
        <v>590</v>
      </c>
      <c r="D33" t="s">
        <v>38</v>
      </c>
      <c r="E33">
        <v>1856</v>
      </c>
      <c r="F33" s="253">
        <f>F15/0.55</f>
        <v>297.0550576184379</v>
      </c>
      <c r="G33" s="254">
        <f t="shared" si="5"/>
        <v>326.76056338028172</v>
      </c>
      <c r="H33" s="255">
        <v>0.43099999999999999</v>
      </c>
      <c r="I33" s="256">
        <v>800</v>
      </c>
      <c r="J33" s="255">
        <v>0.433</v>
      </c>
      <c r="K33" s="258">
        <v>843</v>
      </c>
      <c r="L33" s="6" t="s">
        <v>144</v>
      </c>
      <c r="P33" s="250">
        <v>0.41599999999999998</v>
      </c>
      <c r="Q33" s="250">
        <v>0.39600000000000002</v>
      </c>
      <c r="R33" s="250">
        <v>0.44800000000000001</v>
      </c>
      <c r="S33" s="250">
        <v>0.46600000000000003</v>
      </c>
    </row>
    <row r="34" spans="1:19" x14ac:dyDescent="0.35">
      <c r="A34" t="s">
        <v>145</v>
      </c>
      <c r="B34" t="s">
        <v>143</v>
      </c>
      <c r="C34" t="s">
        <v>591</v>
      </c>
      <c r="D34" t="s">
        <v>38</v>
      </c>
      <c r="E34">
        <v>2345</v>
      </c>
      <c r="F34" s="8">
        <f>F16/0.55</f>
        <v>375.32010243277847</v>
      </c>
      <c r="G34" s="8">
        <f t="shared" si="5"/>
        <v>412.85211267605632</v>
      </c>
      <c r="H34" s="3">
        <v>0.42599999999999999</v>
      </c>
      <c r="I34" s="10">
        <v>999</v>
      </c>
      <c r="J34" s="3">
        <v>0.46400000000000002</v>
      </c>
      <c r="K34" s="10">
        <v>1089</v>
      </c>
      <c r="L34" s="6" t="s">
        <v>444</v>
      </c>
      <c r="P34" s="32">
        <v>0.38700000000000001</v>
      </c>
      <c r="Q34" s="32">
        <v>0.36599999999999999</v>
      </c>
      <c r="R34" s="32">
        <v>0.44900000000000001</v>
      </c>
      <c r="S34" s="32">
        <v>0.46700000000000003</v>
      </c>
    </row>
    <row r="35" spans="1:19" x14ac:dyDescent="0.35">
      <c r="A35" t="s">
        <v>145</v>
      </c>
      <c r="B35" t="s">
        <v>143</v>
      </c>
      <c r="C35" t="s">
        <v>597</v>
      </c>
      <c r="D35" t="s">
        <v>38</v>
      </c>
      <c r="E35">
        <v>2750</v>
      </c>
      <c r="H35" s="3">
        <v>0.436</v>
      </c>
      <c r="I35" s="10">
        <v>1200</v>
      </c>
      <c r="J35" s="3">
        <v>0.47199999999999998</v>
      </c>
      <c r="K35" s="10">
        <v>1297</v>
      </c>
      <c r="L35" s="6"/>
      <c r="P35" s="32">
        <v>0.42399999999999999</v>
      </c>
      <c r="Q35" s="32">
        <v>0.40200000000000002</v>
      </c>
      <c r="R35" s="32">
        <v>0.48099999999999998</v>
      </c>
      <c r="S35" s="32">
        <v>0.497</v>
      </c>
    </row>
    <row r="36" spans="1:19" x14ac:dyDescent="0.35">
      <c r="A36" t="s">
        <v>145</v>
      </c>
      <c r="B36" t="s">
        <v>143</v>
      </c>
      <c r="C36" t="s">
        <v>146</v>
      </c>
      <c r="D36" t="s">
        <v>38</v>
      </c>
      <c r="E36">
        <v>3696</v>
      </c>
      <c r="F36" s="8">
        <f>F18/0.55</f>
        <v>591.54929577464793</v>
      </c>
      <c r="G36" s="8">
        <f t="shared" si="5"/>
        <v>650.70422535211276</v>
      </c>
      <c r="H36" s="3">
        <v>0.42599999999999999</v>
      </c>
      <c r="I36" s="10">
        <v>1560</v>
      </c>
      <c r="J36" s="3">
        <v>0.48399999999999999</v>
      </c>
      <c r="K36" s="10">
        <v>1700</v>
      </c>
      <c r="L36" s="6" t="s">
        <v>447</v>
      </c>
      <c r="P36" s="32">
        <v>0.41099999999999998</v>
      </c>
      <c r="Q36" s="32">
        <v>0.39</v>
      </c>
      <c r="R36" s="32">
        <v>0.49199999999999999</v>
      </c>
      <c r="S36" s="32">
        <v>0.51</v>
      </c>
    </row>
    <row r="37" spans="1:19" x14ac:dyDescent="0.35">
      <c r="A37" t="s">
        <v>145</v>
      </c>
      <c r="B37" t="s">
        <v>143</v>
      </c>
      <c r="C37" t="s">
        <v>445</v>
      </c>
      <c r="D37" t="s">
        <v>38</v>
      </c>
      <c r="E37">
        <f>E19</f>
        <v>4221</v>
      </c>
      <c r="F37" s="8">
        <f>F19/0.55</f>
        <v>675.57618437900135</v>
      </c>
      <c r="G37" s="8">
        <f t="shared" si="5"/>
        <v>743.13380281690149</v>
      </c>
      <c r="H37" s="3">
        <f>H19</f>
        <v>0.436</v>
      </c>
      <c r="I37" s="10">
        <v>1840</v>
      </c>
      <c r="J37" s="3">
        <f>J19</f>
        <v>0.47299999999999998</v>
      </c>
      <c r="K37" s="10">
        <f>K19</f>
        <v>1996</v>
      </c>
      <c r="L37" s="6" t="s">
        <v>446</v>
      </c>
      <c r="P37" s="32">
        <v>0.42299999999999999</v>
      </c>
      <c r="Q37" s="32">
        <v>0.39800000000000002</v>
      </c>
      <c r="R37" s="32">
        <v>0.48399999999999999</v>
      </c>
      <c r="S37" s="32">
        <v>0.502</v>
      </c>
    </row>
    <row r="38" spans="1:19" x14ac:dyDescent="0.35">
      <c r="A38" t="s">
        <v>145</v>
      </c>
      <c r="B38" t="s">
        <v>143</v>
      </c>
      <c r="C38" t="s">
        <v>587</v>
      </c>
      <c r="D38" t="s">
        <v>38</v>
      </c>
      <c r="E38">
        <v>4577</v>
      </c>
      <c r="F38" s="8">
        <f>F20/0.55</f>
        <v>732.55441741357231</v>
      </c>
      <c r="G38" s="8">
        <f t="shared" si="5"/>
        <v>805.80985915492965</v>
      </c>
      <c r="H38" s="3">
        <v>0.437</v>
      </c>
      <c r="I38" s="10">
        <v>2000</v>
      </c>
      <c r="J38" s="3">
        <v>0.47099999999999997</v>
      </c>
      <c r="K38" s="10">
        <v>2154</v>
      </c>
      <c r="L38" s="6"/>
      <c r="P38" s="32"/>
      <c r="Q38" s="32"/>
      <c r="R38" s="32"/>
      <c r="S38" s="32"/>
    </row>
    <row r="39" spans="1:19" x14ac:dyDescent="0.35">
      <c r="A39" t="s">
        <v>145</v>
      </c>
      <c r="B39" t="s">
        <v>143</v>
      </c>
      <c r="C39" t="s">
        <v>588</v>
      </c>
      <c r="D39" t="s">
        <v>38</v>
      </c>
      <c r="E39">
        <v>5115</v>
      </c>
      <c r="F39" s="8">
        <f>F21/0.55</f>
        <v>818.66197183098598</v>
      </c>
      <c r="G39" s="8">
        <f t="shared" si="5"/>
        <v>900.5281690140846</v>
      </c>
      <c r="H39" s="3">
        <v>0.45</v>
      </c>
      <c r="I39" s="10">
        <v>2300</v>
      </c>
      <c r="J39" s="3">
        <v>0.46</v>
      </c>
      <c r="K39" s="10">
        <v>2354</v>
      </c>
      <c r="L39" s="6"/>
      <c r="P39" s="32"/>
      <c r="Q39" s="32"/>
      <c r="R39" s="32"/>
      <c r="S39" s="32"/>
    </row>
    <row r="40" spans="1:19" s="11" customFormat="1" x14ac:dyDescent="0.35">
      <c r="F40" s="12"/>
      <c r="G40" s="12"/>
      <c r="H40" s="13"/>
      <c r="J40" s="13"/>
    </row>
    <row r="41" spans="1:19" x14ac:dyDescent="0.35">
      <c r="A41" t="s">
        <v>39</v>
      </c>
      <c r="B41" t="s">
        <v>40</v>
      </c>
      <c r="C41" s="18" t="s">
        <v>575</v>
      </c>
      <c r="D41" t="s">
        <v>12</v>
      </c>
      <c r="E41">
        <v>1075</v>
      </c>
      <c r="F41" s="8">
        <f>E41/N3</f>
        <v>94.630281690140848</v>
      </c>
      <c r="G41" s="26" t="s">
        <v>41</v>
      </c>
      <c r="H41" s="17" t="s">
        <v>41</v>
      </c>
      <c r="I41" s="15" t="s">
        <v>41</v>
      </c>
      <c r="J41" s="17">
        <v>0.93</v>
      </c>
      <c r="K41" s="25">
        <v>1000</v>
      </c>
      <c r="L41" s="6" t="s">
        <v>42</v>
      </c>
      <c r="P41" s="251"/>
      <c r="Q41" s="251"/>
      <c r="R41" s="251"/>
      <c r="S41" s="251"/>
    </row>
    <row r="42" spans="1:19" s="11" customFormat="1" x14ac:dyDescent="0.35">
      <c r="C42" s="19"/>
      <c r="F42" s="12"/>
      <c r="G42" s="12"/>
      <c r="H42" s="20"/>
      <c r="I42" s="21"/>
      <c r="J42" s="20"/>
      <c r="K42" s="22"/>
      <c r="L42" s="23"/>
    </row>
    <row r="43" spans="1:19" x14ac:dyDescent="0.35">
      <c r="A43" t="s">
        <v>39</v>
      </c>
      <c r="B43" t="s">
        <v>40</v>
      </c>
      <c r="C43" s="18" t="s">
        <v>575</v>
      </c>
      <c r="D43" t="s">
        <v>43</v>
      </c>
      <c r="E43">
        <v>1075</v>
      </c>
      <c r="F43" s="8">
        <f>F41/0.55</f>
        <v>172.0550576184379</v>
      </c>
      <c r="G43" s="26" t="s">
        <v>41</v>
      </c>
      <c r="H43" s="17" t="s">
        <v>41</v>
      </c>
      <c r="I43" s="15" t="s">
        <v>41</v>
      </c>
      <c r="J43" s="17">
        <f>J41</f>
        <v>0.93</v>
      </c>
      <c r="K43" s="25">
        <v>1000</v>
      </c>
      <c r="L43" s="6" t="s">
        <v>42</v>
      </c>
      <c r="P43" s="251"/>
      <c r="Q43" s="251"/>
      <c r="R43" s="251"/>
      <c r="S43" s="251"/>
    </row>
    <row r="44" spans="1:19" s="11" customFormat="1" x14ac:dyDescent="0.35">
      <c r="F44" s="12"/>
      <c r="G44" s="12"/>
      <c r="H44" s="13"/>
      <c r="J44" s="13"/>
    </row>
    <row r="45" spans="1:19" x14ac:dyDescent="0.35">
      <c r="A45" t="s">
        <v>172</v>
      </c>
      <c r="B45" s="18" t="s">
        <v>124</v>
      </c>
      <c r="C45" s="18">
        <v>400</v>
      </c>
      <c r="D45" t="s">
        <v>125</v>
      </c>
      <c r="E45" s="50" t="s">
        <v>41</v>
      </c>
      <c r="F45" s="26" t="s">
        <v>41</v>
      </c>
      <c r="G45" s="26" t="s">
        <v>41</v>
      </c>
      <c r="H45" s="17" t="s">
        <v>41</v>
      </c>
      <c r="I45" s="15">
        <v>400</v>
      </c>
      <c r="J45" s="17" t="s">
        <v>41</v>
      </c>
      <c r="K45" s="15" t="s">
        <v>41</v>
      </c>
      <c r="L45" s="6" t="s">
        <v>127</v>
      </c>
      <c r="P45" s="251"/>
      <c r="Q45" s="251"/>
      <c r="R45" s="251"/>
      <c r="S45" s="251"/>
    </row>
    <row r="46" spans="1:19" x14ac:dyDescent="0.35">
      <c r="A46" t="s">
        <v>174</v>
      </c>
      <c r="B46" s="18" t="s">
        <v>175</v>
      </c>
      <c r="C46" s="18">
        <v>700</v>
      </c>
      <c r="D46" t="s">
        <v>125</v>
      </c>
      <c r="E46" s="50" t="s">
        <v>41</v>
      </c>
      <c r="F46" s="26" t="s">
        <v>41</v>
      </c>
      <c r="G46" s="26" t="s">
        <v>41</v>
      </c>
      <c r="H46" s="17" t="s">
        <v>41</v>
      </c>
      <c r="I46" s="15">
        <v>700</v>
      </c>
      <c r="J46" s="17" t="s">
        <v>41</v>
      </c>
      <c r="K46" s="15" t="s">
        <v>41</v>
      </c>
      <c r="L46" s="6" t="s">
        <v>173</v>
      </c>
    </row>
    <row r="47" spans="1:19" x14ac:dyDescent="0.35">
      <c r="A47" t="s">
        <v>448</v>
      </c>
      <c r="B47" s="18" t="s">
        <v>124</v>
      </c>
      <c r="C47" s="18">
        <v>1000</v>
      </c>
      <c r="D47" t="s">
        <v>125</v>
      </c>
      <c r="E47" s="50" t="s">
        <v>41</v>
      </c>
      <c r="F47" s="26" t="s">
        <v>41</v>
      </c>
      <c r="G47" s="26" t="s">
        <v>41</v>
      </c>
      <c r="H47" s="17" t="s">
        <v>41</v>
      </c>
      <c r="I47" s="15">
        <f>C47</f>
        <v>1000</v>
      </c>
      <c r="J47" s="17" t="s">
        <v>41</v>
      </c>
      <c r="K47" s="15"/>
      <c r="L47" s="6" t="s">
        <v>449</v>
      </c>
    </row>
    <row r="48" spans="1:19" x14ac:dyDescent="0.35">
      <c r="A48" t="s">
        <v>448</v>
      </c>
      <c r="B48" s="18" t="s">
        <v>124</v>
      </c>
      <c r="C48" s="18">
        <v>1320</v>
      </c>
      <c r="D48" t="s">
        <v>125</v>
      </c>
      <c r="E48" s="50" t="s">
        <v>41</v>
      </c>
      <c r="F48" s="26" t="s">
        <v>41</v>
      </c>
      <c r="G48" s="26" t="s">
        <v>41</v>
      </c>
      <c r="H48" s="17" t="s">
        <v>41</v>
      </c>
      <c r="I48" s="15">
        <f>C48</f>
        <v>1320</v>
      </c>
      <c r="J48" s="17" t="s">
        <v>41</v>
      </c>
      <c r="K48" s="15"/>
      <c r="L48" s="6" t="s">
        <v>450</v>
      </c>
    </row>
    <row r="49" spans="1:12" s="11" customFormat="1" x14ac:dyDescent="0.35">
      <c r="F49" s="12"/>
      <c r="G49" s="12"/>
      <c r="H49" s="13"/>
      <c r="J49" s="13"/>
    </row>
    <row r="50" spans="1:12" x14ac:dyDescent="0.35">
      <c r="A50" s="1" t="s">
        <v>44</v>
      </c>
      <c r="B50" s="16" t="s">
        <v>45</v>
      </c>
      <c r="F50" s="4"/>
      <c r="G50" s="4"/>
      <c r="I50"/>
      <c r="K50"/>
    </row>
    <row r="51" spans="1:12" x14ac:dyDescent="0.35">
      <c r="A51" t="s">
        <v>10</v>
      </c>
      <c r="B51" t="s">
        <v>10</v>
      </c>
      <c r="C51" t="s">
        <v>11</v>
      </c>
      <c r="D51" t="s">
        <v>38</v>
      </c>
      <c r="E51">
        <v>1581</v>
      </c>
      <c r="F51" s="8">
        <f>F23</f>
        <v>253.04097311139563</v>
      </c>
      <c r="H51" s="3">
        <v>0.40200000000000002</v>
      </c>
      <c r="I51" s="10">
        <v>635</v>
      </c>
      <c r="K51" s="10">
        <v>695</v>
      </c>
      <c r="L51" s="6" t="s">
        <v>13</v>
      </c>
    </row>
    <row r="52" spans="1:12" x14ac:dyDescent="0.35">
      <c r="A52" t="s">
        <v>10</v>
      </c>
      <c r="B52" t="s">
        <v>10</v>
      </c>
      <c r="C52" t="s">
        <v>25</v>
      </c>
      <c r="D52" t="s">
        <v>12</v>
      </c>
      <c r="E52">
        <v>3508</v>
      </c>
      <c r="F52" s="8">
        <f>E8/N3</f>
        <v>308.80281690140845</v>
      </c>
      <c r="H52" s="3">
        <v>0.42699999999999999</v>
      </c>
      <c r="I52" s="10">
        <v>1499</v>
      </c>
      <c r="K52" s="10">
        <v>1506</v>
      </c>
      <c r="L52" s="6" t="s">
        <v>26</v>
      </c>
    </row>
    <row r="53" spans="1:12" x14ac:dyDescent="0.35">
      <c r="A53" t="s">
        <v>46</v>
      </c>
      <c r="B53" t="s">
        <v>47</v>
      </c>
      <c r="C53" t="s">
        <v>47</v>
      </c>
      <c r="D53" t="s">
        <v>48</v>
      </c>
      <c r="E53">
        <v>200</v>
      </c>
      <c r="F53" s="26" t="s">
        <v>41</v>
      </c>
      <c r="G53" s="26"/>
      <c r="H53" s="17" t="s">
        <v>41</v>
      </c>
      <c r="I53" s="10">
        <v>200</v>
      </c>
      <c r="J53" s="17"/>
      <c r="K53" s="15" t="s">
        <v>41</v>
      </c>
      <c r="L53" s="6"/>
    </row>
    <row r="54" spans="1:12" x14ac:dyDescent="0.35">
      <c r="L54" s="6"/>
    </row>
    <row r="55" spans="1:12" x14ac:dyDescent="0.35">
      <c r="A55" s="1" t="s">
        <v>49</v>
      </c>
      <c r="B55" s="16" t="s">
        <v>129</v>
      </c>
      <c r="F55" s="14"/>
      <c r="G55" s="14"/>
      <c r="H55"/>
      <c r="I55" s="14"/>
      <c r="J55"/>
    </row>
    <row r="56" spans="1:12" x14ac:dyDescent="0.35">
      <c r="A56" t="s">
        <v>39</v>
      </c>
      <c r="B56" t="s">
        <v>40</v>
      </c>
      <c r="C56" s="18">
        <v>300</v>
      </c>
      <c r="D56" t="s">
        <v>38</v>
      </c>
      <c r="E56">
        <v>1075</v>
      </c>
      <c r="F56" s="8">
        <f>F41/0.55</f>
        <v>172.0550576184379</v>
      </c>
      <c r="H56" s="17">
        <v>0.93</v>
      </c>
      <c r="I56" s="15" t="s">
        <v>41</v>
      </c>
      <c r="J56" s="17"/>
      <c r="K56" s="25">
        <v>1000</v>
      </c>
      <c r="L56" s="6" t="s">
        <v>42</v>
      </c>
    </row>
    <row r="57" spans="1:12" x14ac:dyDescent="0.35">
      <c r="A57" t="s">
        <v>10</v>
      </c>
      <c r="B57" t="s">
        <v>10</v>
      </c>
      <c r="C57" t="s">
        <v>19</v>
      </c>
      <c r="D57" t="s">
        <v>12</v>
      </c>
      <c r="E57">
        <v>2622</v>
      </c>
      <c r="F57" s="8">
        <f>F5</f>
        <v>230.8098591549296</v>
      </c>
      <c r="H57" s="3">
        <v>0.40699999999999997</v>
      </c>
      <c r="I57" s="10">
        <v>1067</v>
      </c>
      <c r="K57" s="10">
        <v>1152</v>
      </c>
      <c r="L57" s="6" t="s">
        <v>20</v>
      </c>
    </row>
    <row r="58" spans="1:12" x14ac:dyDescent="0.35">
      <c r="A58" t="s">
        <v>10</v>
      </c>
      <c r="B58" t="s">
        <v>10</v>
      </c>
      <c r="C58" t="s">
        <v>19</v>
      </c>
      <c r="D58" t="s">
        <v>12</v>
      </c>
      <c r="E58">
        <v>2622</v>
      </c>
      <c r="F58" s="8">
        <f>F5</f>
        <v>230.8098591549296</v>
      </c>
      <c r="H58" s="3">
        <v>0.40699999999999997</v>
      </c>
      <c r="I58" s="10">
        <v>1067</v>
      </c>
      <c r="K58" s="10">
        <v>1152</v>
      </c>
      <c r="L58" s="6" t="s">
        <v>20</v>
      </c>
    </row>
    <row r="59" spans="1:12" x14ac:dyDescent="0.35">
      <c r="A59" t="s">
        <v>46</v>
      </c>
      <c r="B59" t="s">
        <v>47</v>
      </c>
      <c r="C59" t="s">
        <v>47</v>
      </c>
      <c r="D59" t="s">
        <v>48</v>
      </c>
      <c r="E59">
        <v>200</v>
      </c>
      <c r="F59" s="26" t="s">
        <v>41</v>
      </c>
      <c r="G59" s="26"/>
      <c r="H59" s="17" t="s">
        <v>41</v>
      </c>
      <c r="I59" s="10">
        <v>200</v>
      </c>
      <c r="J59" s="17"/>
      <c r="K59" s="15" t="s">
        <v>41</v>
      </c>
      <c r="L59" s="6"/>
    </row>
    <row r="61" spans="1:12" x14ac:dyDescent="0.35">
      <c r="A61" s="1" t="s">
        <v>50</v>
      </c>
      <c r="B61" s="16" t="s">
        <v>51</v>
      </c>
    </row>
    <row r="62" spans="1:12" x14ac:dyDescent="0.35">
      <c r="A62" t="s">
        <v>39</v>
      </c>
      <c r="B62" t="s">
        <v>40</v>
      </c>
      <c r="C62" s="18">
        <v>300</v>
      </c>
      <c r="D62" t="s">
        <v>38</v>
      </c>
      <c r="E62">
        <v>1075</v>
      </c>
      <c r="F62" s="8">
        <f>F56</f>
        <v>172.0550576184379</v>
      </c>
      <c r="H62" s="17" t="s">
        <v>41</v>
      </c>
      <c r="I62" s="15" t="s">
        <v>41</v>
      </c>
      <c r="J62" s="17"/>
      <c r="K62" s="25">
        <v>1000</v>
      </c>
      <c r="L62" s="6" t="s">
        <v>42</v>
      </c>
    </row>
    <row r="63" spans="1:12" x14ac:dyDescent="0.35">
      <c r="A63" t="s">
        <v>10</v>
      </c>
      <c r="B63" t="s">
        <v>10</v>
      </c>
      <c r="C63" t="s">
        <v>29</v>
      </c>
      <c r="D63" t="s">
        <v>12</v>
      </c>
      <c r="E63">
        <v>5523</v>
      </c>
      <c r="F63" s="8">
        <f>F10</f>
        <v>486.17957746478874</v>
      </c>
      <c r="H63" s="3">
        <v>0.44</v>
      </c>
      <c r="I63" s="10">
        <v>2430</v>
      </c>
      <c r="K63" s="10">
        <v>2283</v>
      </c>
      <c r="L63" s="6" t="s">
        <v>30</v>
      </c>
    </row>
    <row r="64" spans="1:12" x14ac:dyDescent="0.35">
      <c r="A64" t="s">
        <v>46</v>
      </c>
      <c r="B64" t="s">
        <v>47</v>
      </c>
      <c r="C64" t="s">
        <v>47</v>
      </c>
      <c r="D64" t="s">
        <v>48</v>
      </c>
      <c r="E64">
        <v>200</v>
      </c>
      <c r="F64" s="26" t="s">
        <v>41</v>
      </c>
      <c r="G64" s="26"/>
      <c r="H64" s="17" t="s">
        <v>41</v>
      </c>
      <c r="I64" s="10">
        <v>200</v>
      </c>
      <c r="J64" s="17"/>
      <c r="K64" s="15" t="s">
        <v>41</v>
      </c>
      <c r="L64" s="6"/>
    </row>
    <row r="66" spans="1:12" x14ac:dyDescent="0.35">
      <c r="A66" s="1" t="s">
        <v>52</v>
      </c>
      <c r="B66" s="16" t="s">
        <v>53</v>
      </c>
    </row>
    <row r="67" spans="1:12" x14ac:dyDescent="0.35">
      <c r="A67" t="s">
        <v>10</v>
      </c>
      <c r="B67" t="s">
        <v>10</v>
      </c>
      <c r="C67" t="s">
        <v>23</v>
      </c>
      <c r="D67" t="s">
        <v>38</v>
      </c>
      <c r="E67">
        <v>2810</v>
      </c>
      <c r="F67" s="8">
        <f>F27</f>
        <v>449.74391805377718</v>
      </c>
      <c r="H67" s="3">
        <v>0.42799999999999999</v>
      </c>
      <c r="I67" s="10">
        <v>1202</v>
      </c>
      <c r="K67" s="10">
        <v>1207</v>
      </c>
      <c r="L67" s="6" t="s">
        <v>24</v>
      </c>
    </row>
    <row r="68" spans="1:12" x14ac:dyDescent="0.35">
      <c r="A68" t="s">
        <v>10</v>
      </c>
      <c r="B68" t="s">
        <v>10</v>
      </c>
      <c r="C68" t="s">
        <v>23</v>
      </c>
      <c r="D68" t="s">
        <v>38</v>
      </c>
      <c r="E68">
        <v>2810</v>
      </c>
      <c r="F68" s="8">
        <f>F27</f>
        <v>449.74391805377718</v>
      </c>
      <c r="H68" s="3">
        <v>0.42799999999999999</v>
      </c>
      <c r="I68" s="10">
        <v>1202</v>
      </c>
      <c r="K68" s="10">
        <v>1207</v>
      </c>
      <c r="L68" s="6" t="s">
        <v>24</v>
      </c>
    </row>
    <row r="69" spans="1:12" x14ac:dyDescent="0.35">
      <c r="A69" t="s">
        <v>46</v>
      </c>
      <c r="B69" t="s">
        <v>47</v>
      </c>
      <c r="C69" t="s">
        <v>47</v>
      </c>
      <c r="D69" t="s">
        <v>48</v>
      </c>
      <c r="E69">
        <v>200</v>
      </c>
      <c r="F69" s="26" t="s">
        <v>41</v>
      </c>
      <c r="G69" s="26"/>
      <c r="H69" s="17" t="s">
        <v>41</v>
      </c>
      <c r="I69" s="10">
        <v>200</v>
      </c>
      <c r="J69" s="17"/>
      <c r="K69" s="15" t="s">
        <v>41</v>
      </c>
      <c r="L69" s="6"/>
    </row>
    <row r="70" spans="1:12" x14ac:dyDescent="0.35">
      <c r="L70" s="6"/>
    </row>
    <row r="71" spans="1:12" x14ac:dyDescent="0.35">
      <c r="A71" s="1" t="s">
        <v>54</v>
      </c>
      <c r="B71" s="16" t="s">
        <v>55</v>
      </c>
      <c r="L71" s="6"/>
    </row>
    <row r="72" spans="1:12" x14ac:dyDescent="0.35">
      <c r="A72" t="s">
        <v>10</v>
      </c>
      <c r="B72" t="s">
        <v>10</v>
      </c>
      <c r="C72" t="s">
        <v>11</v>
      </c>
      <c r="D72" t="s">
        <v>38</v>
      </c>
      <c r="E72">
        <v>1581</v>
      </c>
      <c r="F72" s="8">
        <f>F51</f>
        <v>253.04097311139563</v>
      </c>
      <c r="H72" s="3">
        <v>0.40200000000000002</v>
      </c>
      <c r="I72" s="10">
        <v>635</v>
      </c>
      <c r="K72" s="10">
        <v>695</v>
      </c>
      <c r="L72" s="6" t="s">
        <v>13</v>
      </c>
    </row>
    <row r="73" spans="1:12" x14ac:dyDescent="0.35">
      <c r="A73" t="s">
        <v>10</v>
      </c>
      <c r="B73" t="s">
        <v>10</v>
      </c>
      <c r="C73" t="s">
        <v>25</v>
      </c>
      <c r="D73" t="s">
        <v>12</v>
      </c>
      <c r="E73">
        <v>3508</v>
      </c>
      <c r="F73" s="8">
        <f>F52</f>
        <v>308.80281690140845</v>
      </c>
      <c r="H73" s="3">
        <v>0.42699999999999999</v>
      </c>
      <c r="I73" s="10">
        <v>1499</v>
      </c>
      <c r="K73" s="10">
        <v>1506</v>
      </c>
      <c r="L73" s="6" t="s">
        <v>26</v>
      </c>
    </row>
    <row r="74" spans="1:12" x14ac:dyDescent="0.35">
      <c r="A74" t="s">
        <v>39</v>
      </c>
      <c r="B74" t="s">
        <v>40</v>
      </c>
      <c r="C74" s="18">
        <v>300</v>
      </c>
      <c r="D74" t="s">
        <v>38</v>
      </c>
      <c r="E74">
        <v>1075</v>
      </c>
      <c r="F74" s="8">
        <f>F62</f>
        <v>172.0550576184379</v>
      </c>
      <c r="H74" s="17" t="s">
        <v>41</v>
      </c>
      <c r="I74" s="15" t="s">
        <v>41</v>
      </c>
      <c r="J74" s="17"/>
      <c r="K74" s="25">
        <v>1000</v>
      </c>
      <c r="L74" s="6" t="s">
        <v>42</v>
      </c>
    </row>
    <row r="75" spans="1:12" x14ac:dyDescent="0.35">
      <c r="A75" t="s">
        <v>46</v>
      </c>
      <c r="B75" t="s">
        <v>47</v>
      </c>
      <c r="C75" t="s">
        <v>47</v>
      </c>
      <c r="D75" t="s">
        <v>48</v>
      </c>
      <c r="E75">
        <v>200</v>
      </c>
      <c r="F75" s="26" t="s">
        <v>41</v>
      </c>
      <c r="G75" s="26"/>
      <c r="H75" s="17" t="s">
        <v>41</v>
      </c>
      <c r="I75" s="10">
        <v>200</v>
      </c>
      <c r="J75" s="17"/>
      <c r="K75" s="15" t="s">
        <v>41</v>
      </c>
      <c r="L75" s="6"/>
    </row>
    <row r="76" spans="1:12" x14ac:dyDescent="0.35">
      <c r="L76" s="6"/>
    </row>
    <row r="77" spans="1:12" x14ac:dyDescent="0.35">
      <c r="A77" s="1" t="s">
        <v>56</v>
      </c>
      <c r="B77" s="16" t="s">
        <v>57</v>
      </c>
      <c r="L77" s="6"/>
    </row>
    <row r="78" spans="1:12" x14ac:dyDescent="0.35">
      <c r="A78" t="s">
        <v>10</v>
      </c>
      <c r="B78" t="s">
        <v>10</v>
      </c>
      <c r="C78" t="s">
        <v>21</v>
      </c>
      <c r="D78" t="s">
        <v>12</v>
      </c>
      <c r="E78">
        <v>2114</v>
      </c>
      <c r="F78" s="8">
        <f>F6</f>
        <v>186.09154929577466</v>
      </c>
      <c r="H78" s="3">
        <v>0.42599999999999999</v>
      </c>
      <c r="I78" s="10">
        <v>900</v>
      </c>
      <c r="K78" s="10">
        <v>908</v>
      </c>
      <c r="L78" s="6" t="s">
        <v>22</v>
      </c>
    </row>
    <row r="79" spans="1:12" x14ac:dyDescent="0.35">
      <c r="A79" t="s">
        <v>10</v>
      </c>
      <c r="B79" t="s">
        <v>10</v>
      </c>
      <c r="C79" t="s">
        <v>21</v>
      </c>
      <c r="D79" t="s">
        <v>12</v>
      </c>
      <c r="E79">
        <v>2114</v>
      </c>
      <c r="F79" s="8">
        <f>F6</f>
        <v>186.09154929577466</v>
      </c>
      <c r="H79" s="3">
        <v>0.42599999999999999</v>
      </c>
      <c r="I79" s="10">
        <v>900</v>
      </c>
      <c r="K79" s="10">
        <v>908</v>
      </c>
      <c r="L79" s="6" t="s">
        <v>22</v>
      </c>
    </row>
    <row r="80" spans="1:12" x14ac:dyDescent="0.35">
      <c r="A80" t="s">
        <v>39</v>
      </c>
      <c r="B80" t="s">
        <v>40</v>
      </c>
      <c r="C80" s="18">
        <v>300</v>
      </c>
      <c r="D80" t="s">
        <v>38</v>
      </c>
      <c r="E80">
        <v>1075</v>
      </c>
      <c r="F80" s="8">
        <f>F62</f>
        <v>172.0550576184379</v>
      </c>
      <c r="H80" s="17" t="s">
        <v>41</v>
      </c>
      <c r="I80" s="15" t="s">
        <v>41</v>
      </c>
      <c r="J80" s="17"/>
      <c r="K80" s="25">
        <v>1000</v>
      </c>
      <c r="L80" s="6" t="s">
        <v>42</v>
      </c>
    </row>
    <row r="81" spans="1:12" x14ac:dyDescent="0.35">
      <c r="A81" t="s">
        <v>46</v>
      </c>
      <c r="B81" t="s">
        <v>47</v>
      </c>
      <c r="C81" t="s">
        <v>47</v>
      </c>
      <c r="D81" t="s">
        <v>48</v>
      </c>
      <c r="E81">
        <v>200</v>
      </c>
      <c r="F81" s="26" t="s">
        <v>41</v>
      </c>
      <c r="G81" s="26"/>
      <c r="H81" s="17" t="s">
        <v>41</v>
      </c>
      <c r="I81" s="10">
        <v>200</v>
      </c>
      <c r="J81" s="17"/>
      <c r="K81" s="15" t="s">
        <v>41</v>
      </c>
      <c r="L81" s="6"/>
    </row>
    <row r="82" spans="1:12" x14ac:dyDescent="0.35">
      <c r="F82" s="26"/>
      <c r="G82" s="26"/>
      <c r="H82" s="17"/>
      <c r="J82" s="17"/>
      <c r="K82" s="15"/>
      <c r="L82" s="6"/>
    </row>
    <row r="83" spans="1:12" x14ac:dyDescent="0.35">
      <c r="A83" s="1" t="s">
        <v>58</v>
      </c>
      <c r="F83" s="26"/>
      <c r="G83" s="26"/>
      <c r="H83" s="17"/>
      <c r="J83" s="17"/>
      <c r="K83" s="15"/>
      <c r="L83" s="6"/>
    </row>
    <row r="84" spans="1:12" x14ac:dyDescent="0.35">
      <c r="A84" t="s">
        <v>10</v>
      </c>
      <c r="B84" t="s">
        <v>10</v>
      </c>
      <c r="C84" t="s">
        <v>19</v>
      </c>
      <c r="D84" t="s">
        <v>38</v>
      </c>
      <c r="E84">
        <v>2622</v>
      </c>
      <c r="F84" s="8">
        <f>F25</f>
        <v>419.65428937259924</v>
      </c>
      <c r="H84" s="3">
        <v>0.40699999999999997</v>
      </c>
      <c r="I84" s="10">
        <v>1067</v>
      </c>
      <c r="K84" s="10">
        <v>1152</v>
      </c>
      <c r="L84" s="6" t="s">
        <v>20</v>
      </c>
    </row>
    <row r="85" spans="1:12" x14ac:dyDescent="0.35">
      <c r="A85" t="s">
        <v>10</v>
      </c>
      <c r="B85" t="s">
        <v>10</v>
      </c>
      <c r="C85" t="s">
        <v>19</v>
      </c>
      <c r="D85" t="s">
        <v>38</v>
      </c>
      <c r="E85">
        <v>2622</v>
      </c>
      <c r="F85" s="8">
        <f>F25</f>
        <v>419.65428937259924</v>
      </c>
      <c r="H85" s="3">
        <v>0.40699999999999997</v>
      </c>
      <c r="I85" s="10">
        <v>1067</v>
      </c>
      <c r="K85" s="10">
        <v>1152</v>
      </c>
      <c r="L85" s="6" t="s">
        <v>20</v>
      </c>
    </row>
    <row r="86" spans="1:12" x14ac:dyDescent="0.35">
      <c r="A86" t="s">
        <v>39</v>
      </c>
      <c r="B86" t="s">
        <v>40</v>
      </c>
      <c r="C86" s="18">
        <v>300</v>
      </c>
      <c r="D86" t="s">
        <v>38</v>
      </c>
      <c r="E86">
        <v>1075</v>
      </c>
      <c r="F86" s="8">
        <f>F74</f>
        <v>172.0550576184379</v>
      </c>
      <c r="H86" s="17" t="s">
        <v>41</v>
      </c>
      <c r="I86" s="15" t="s">
        <v>41</v>
      </c>
      <c r="J86" s="17"/>
      <c r="K86" s="25">
        <v>1000</v>
      </c>
      <c r="L86" s="6" t="s">
        <v>42</v>
      </c>
    </row>
    <row r="87" spans="1:12" x14ac:dyDescent="0.35">
      <c r="A87" t="s">
        <v>46</v>
      </c>
      <c r="B87" t="s">
        <v>47</v>
      </c>
      <c r="C87" t="s">
        <v>47</v>
      </c>
      <c r="D87" t="s">
        <v>48</v>
      </c>
      <c r="E87">
        <v>200</v>
      </c>
      <c r="F87" s="26" t="s">
        <v>41</v>
      </c>
      <c r="G87" s="26"/>
      <c r="H87" s="17" t="s">
        <v>41</v>
      </c>
      <c r="I87" s="10">
        <v>200</v>
      </c>
      <c r="J87" s="17"/>
      <c r="K87" s="15" t="s">
        <v>41</v>
      </c>
      <c r="L87" s="6"/>
    </row>
    <row r="88" spans="1:12" x14ac:dyDescent="0.35">
      <c r="F88" s="26"/>
      <c r="G88" s="26"/>
      <c r="H88" s="17"/>
      <c r="J88" s="17"/>
      <c r="K88" s="15"/>
      <c r="L88" s="6"/>
    </row>
    <row r="89" spans="1:12" x14ac:dyDescent="0.35">
      <c r="A89" s="1" t="s">
        <v>122</v>
      </c>
      <c r="F89" s="26"/>
      <c r="G89" s="26"/>
      <c r="H89" s="17"/>
      <c r="J89" s="17"/>
      <c r="K89" s="15"/>
      <c r="L89" s="6"/>
    </row>
    <row r="90" spans="1:12" x14ac:dyDescent="0.35">
      <c r="A90" t="s">
        <v>10</v>
      </c>
      <c r="B90" t="s">
        <v>10</v>
      </c>
      <c r="C90" t="s">
        <v>11</v>
      </c>
      <c r="D90" t="s">
        <v>38</v>
      </c>
      <c r="E90">
        <v>1581</v>
      </c>
      <c r="F90" s="8">
        <f>F23</f>
        <v>253.04097311139563</v>
      </c>
      <c r="H90" s="3">
        <v>0.40200000000000002</v>
      </c>
      <c r="I90" s="10">
        <v>635</v>
      </c>
      <c r="K90" s="10">
        <v>695</v>
      </c>
      <c r="L90" s="6" t="s">
        <v>13</v>
      </c>
    </row>
    <row r="91" spans="1:12" x14ac:dyDescent="0.35">
      <c r="A91" t="s">
        <v>10</v>
      </c>
      <c r="B91" t="s">
        <v>10</v>
      </c>
      <c r="C91" t="s">
        <v>23</v>
      </c>
      <c r="D91" t="s">
        <v>12</v>
      </c>
      <c r="E91">
        <v>2810</v>
      </c>
      <c r="F91" s="8">
        <f>F7</f>
        <v>247.35915492957747</v>
      </c>
      <c r="H91" s="3">
        <v>0.42799999999999999</v>
      </c>
      <c r="I91" s="10">
        <v>1202</v>
      </c>
      <c r="K91" s="10">
        <v>1207</v>
      </c>
      <c r="L91" s="6" t="s">
        <v>24</v>
      </c>
    </row>
    <row r="92" spans="1:12" x14ac:dyDescent="0.35">
      <c r="A92" t="s">
        <v>39</v>
      </c>
      <c r="B92" t="s">
        <v>40</v>
      </c>
      <c r="C92" s="18">
        <v>300</v>
      </c>
      <c r="D92" t="s">
        <v>43</v>
      </c>
      <c r="E92">
        <v>1075</v>
      </c>
      <c r="F92" s="8">
        <f>F86</f>
        <v>172.0550576184379</v>
      </c>
      <c r="H92" s="17">
        <v>0.93</v>
      </c>
      <c r="I92" s="15" t="s">
        <v>41</v>
      </c>
      <c r="J92" s="17"/>
      <c r="K92" s="25">
        <v>1000</v>
      </c>
      <c r="L92" s="6" t="s">
        <v>42</v>
      </c>
    </row>
    <row r="93" spans="1:12" x14ac:dyDescent="0.35">
      <c r="A93" t="s">
        <v>46</v>
      </c>
      <c r="B93" t="s">
        <v>47</v>
      </c>
      <c r="C93" t="s">
        <v>47</v>
      </c>
      <c r="D93" t="s">
        <v>48</v>
      </c>
      <c r="E93">
        <v>200</v>
      </c>
      <c r="F93" s="26" t="s">
        <v>41</v>
      </c>
      <c r="G93" s="26"/>
      <c r="H93" s="17" t="s">
        <v>41</v>
      </c>
      <c r="I93" s="10">
        <v>200</v>
      </c>
      <c r="J93" s="17"/>
      <c r="K93" s="15" t="s">
        <v>41</v>
      </c>
      <c r="L93" s="6"/>
    </row>
    <row r="94" spans="1:12" x14ac:dyDescent="0.35">
      <c r="A94" t="s">
        <v>123</v>
      </c>
      <c r="B94" t="s">
        <v>124</v>
      </c>
      <c r="C94" s="34" t="s">
        <v>126</v>
      </c>
      <c r="D94" t="s">
        <v>125</v>
      </c>
      <c r="E94" s="35" t="s">
        <v>41</v>
      </c>
      <c r="F94" s="26" t="s">
        <v>41</v>
      </c>
      <c r="G94" s="26"/>
      <c r="H94" s="17" t="s">
        <v>41</v>
      </c>
      <c r="I94" s="10">
        <v>400</v>
      </c>
      <c r="J94" s="17"/>
      <c r="K94" s="15"/>
      <c r="L94" s="6" t="s">
        <v>127</v>
      </c>
    </row>
    <row r="95" spans="1:12" s="11" customFormat="1" x14ac:dyDescent="0.35">
      <c r="F95" s="12"/>
      <c r="G95" s="12"/>
      <c r="H95" s="13"/>
      <c r="J95" s="13"/>
    </row>
    <row r="96" spans="1:12" ht="45.5" x14ac:dyDescent="0.35">
      <c r="A96" s="16" t="s">
        <v>59</v>
      </c>
      <c r="B96" s="24" t="s">
        <v>60</v>
      </c>
      <c r="C96" s="24" t="s">
        <v>61</v>
      </c>
      <c r="D96" s="24" t="s">
        <v>62</v>
      </c>
      <c r="E96" s="24" t="s">
        <v>63</v>
      </c>
      <c r="F96" s="4" t="s">
        <v>64</v>
      </c>
      <c r="G96" s="4"/>
      <c r="I96" s="16" t="s">
        <v>9</v>
      </c>
      <c r="K96"/>
    </row>
    <row r="97" spans="1:11" x14ac:dyDescent="0.35">
      <c r="A97">
        <v>1</v>
      </c>
      <c r="B97" s="4">
        <f>K97-F51</f>
        <v>1946.9590268886043</v>
      </c>
      <c r="C97" s="4">
        <f>F52</f>
        <v>308.80281690140845</v>
      </c>
      <c r="D97" s="4">
        <f t="shared" ref="D97:D103" si="6">B97*0.55</f>
        <v>1070.8274647887324</v>
      </c>
      <c r="E97">
        <f>I51+I52</f>
        <v>2134</v>
      </c>
      <c r="F97" s="4">
        <f>K51+K52</f>
        <v>2201</v>
      </c>
      <c r="G97" s="4"/>
      <c r="I97" t="s">
        <v>65</v>
      </c>
      <c r="K97">
        <v>2200</v>
      </c>
    </row>
    <row r="98" spans="1:11" x14ac:dyDescent="0.35">
      <c r="A98">
        <v>2</v>
      </c>
      <c r="B98" s="4">
        <f>K97-F56</f>
        <v>2027.9449423815622</v>
      </c>
      <c r="C98" s="4">
        <f>F57+F58</f>
        <v>461.61971830985919</v>
      </c>
      <c r="D98" s="4">
        <f t="shared" si="6"/>
        <v>1115.3697183098593</v>
      </c>
      <c r="E98">
        <f>I57+I58</f>
        <v>2134</v>
      </c>
      <c r="F98" s="4">
        <f>K56+K57+K58</f>
        <v>3304</v>
      </c>
      <c r="G98" s="4"/>
      <c r="I98" t="s">
        <v>66</v>
      </c>
      <c r="K98">
        <f>K97*0.55</f>
        <v>1210</v>
      </c>
    </row>
    <row r="99" spans="1:11" x14ac:dyDescent="0.35">
      <c r="A99">
        <v>3</v>
      </c>
      <c r="B99" s="4">
        <f>K97-F62</f>
        <v>2027.9449423815622</v>
      </c>
      <c r="C99" s="4">
        <f>F63</f>
        <v>486.17957746478874</v>
      </c>
      <c r="D99" s="4">
        <f t="shared" si="6"/>
        <v>1115.3697183098593</v>
      </c>
      <c r="E99">
        <f>I63</f>
        <v>2430</v>
      </c>
      <c r="F99" s="4">
        <f>K62+K63</f>
        <v>3283</v>
      </c>
      <c r="G99" s="4"/>
      <c r="I99"/>
      <c r="K99"/>
    </row>
    <row r="100" spans="1:11" x14ac:dyDescent="0.35">
      <c r="A100">
        <v>4</v>
      </c>
      <c r="B100" s="4">
        <f>K97-(F67*2)</f>
        <v>1300.5121638924456</v>
      </c>
      <c r="C100">
        <v>0</v>
      </c>
      <c r="D100" s="4">
        <f t="shared" si="6"/>
        <v>715.28169014084517</v>
      </c>
      <c r="E100">
        <f>I67+I68</f>
        <v>2404</v>
      </c>
      <c r="F100" s="4">
        <f>K67+K68</f>
        <v>2414</v>
      </c>
      <c r="G100" s="4"/>
      <c r="I100"/>
      <c r="K100"/>
    </row>
    <row r="101" spans="1:11" x14ac:dyDescent="0.35">
      <c r="A101">
        <v>5</v>
      </c>
      <c r="B101" s="4">
        <f>K97-F72-F74</f>
        <v>1774.9039692701663</v>
      </c>
      <c r="C101" s="4">
        <f>F73</f>
        <v>308.80281690140845</v>
      </c>
      <c r="D101" s="4">
        <f t="shared" si="6"/>
        <v>976.19718309859149</v>
      </c>
      <c r="E101">
        <f>SUM(I72:I73)</f>
        <v>2134</v>
      </c>
      <c r="F101">
        <f>SUM(K72:K74)</f>
        <v>3201</v>
      </c>
      <c r="G101"/>
      <c r="I101">
        <f>C104*11.36*365*24/1000</f>
        <v>24615.599999999999</v>
      </c>
      <c r="K101" t="s">
        <v>130</v>
      </c>
    </row>
    <row r="102" spans="1:11" x14ac:dyDescent="0.35">
      <c r="A102">
        <v>6</v>
      </c>
      <c r="B102" s="4">
        <f>K97-F80</f>
        <v>2027.9449423815622</v>
      </c>
      <c r="C102" s="4">
        <f>F78+F79</f>
        <v>372.18309859154931</v>
      </c>
      <c r="D102" s="4">
        <f t="shared" si="6"/>
        <v>1115.3697183098593</v>
      </c>
      <c r="E102">
        <f>I78+I79+I81</f>
        <v>2000</v>
      </c>
      <c r="F102" s="27">
        <f>K78+K79+K80</f>
        <v>2816</v>
      </c>
      <c r="G102" s="27"/>
      <c r="I102"/>
      <c r="K102"/>
    </row>
    <row r="103" spans="1:11" x14ac:dyDescent="0.35">
      <c r="A103">
        <v>7</v>
      </c>
      <c r="B103" s="4">
        <f>K97-F84-F85-F86</f>
        <v>1188.636363636364</v>
      </c>
      <c r="C103" s="4">
        <v>0</v>
      </c>
      <c r="D103" s="4">
        <f t="shared" si="6"/>
        <v>653.75000000000023</v>
      </c>
      <c r="E103">
        <f>I84+I85</f>
        <v>2134</v>
      </c>
      <c r="F103" s="27">
        <f>K84+K85+K86</f>
        <v>3304</v>
      </c>
      <c r="G103" s="27"/>
      <c r="I103"/>
      <c r="K103"/>
    </row>
    <row r="104" spans="1:11" x14ac:dyDescent="0.35">
      <c r="A104">
        <v>8</v>
      </c>
      <c r="B104" s="4">
        <f>K97-(F90+F92)</f>
        <v>1774.9039692701665</v>
      </c>
      <c r="C104" s="4">
        <f>F91</f>
        <v>247.35915492957747</v>
      </c>
      <c r="D104" s="4">
        <f>B104*0.55</f>
        <v>976.19718309859161</v>
      </c>
      <c r="E104">
        <f>I90+I91+I93</f>
        <v>2037</v>
      </c>
      <c r="F104" s="27">
        <f>SUM(K90:K92)</f>
        <v>2902</v>
      </c>
      <c r="G104" s="27"/>
      <c r="I104"/>
      <c r="K104"/>
    </row>
    <row r="105" spans="1:11" s="11" customFormat="1" x14ac:dyDescent="0.35">
      <c r="F105" s="12"/>
      <c r="G105" s="12"/>
      <c r="H105" s="13"/>
      <c r="J105" s="13"/>
    </row>
    <row r="106" spans="1:11" x14ac:dyDescent="0.35">
      <c r="F106" s="4"/>
      <c r="G106" s="4"/>
      <c r="I106"/>
      <c r="K106"/>
    </row>
    <row r="107" spans="1:11" x14ac:dyDescent="0.35">
      <c r="F107" s="4"/>
      <c r="G107" s="4"/>
      <c r="I107">
        <f>1202/0.428*365*24/1000</f>
        <v>24601.682242990657</v>
      </c>
      <c r="K107"/>
    </row>
    <row r="108" spans="1:11" x14ac:dyDescent="0.35">
      <c r="F108" s="4"/>
      <c r="G108" s="4"/>
      <c r="I108"/>
      <c r="K108"/>
    </row>
    <row r="109" spans="1:11" x14ac:dyDescent="0.35">
      <c r="F109" s="4"/>
      <c r="G109" s="4"/>
      <c r="I109"/>
      <c r="K109"/>
    </row>
    <row r="110" spans="1:11" x14ac:dyDescent="0.35">
      <c r="F110" s="4"/>
      <c r="G110" s="4"/>
      <c r="I110"/>
      <c r="K110"/>
    </row>
    <row r="111" spans="1:11" x14ac:dyDescent="0.35">
      <c r="F111" s="4"/>
      <c r="G111" s="4"/>
      <c r="I111"/>
      <c r="K111"/>
    </row>
    <row r="112" spans="1:11" x14ac:dyDescent="0.35">
      <c r="F112" s="4"/>
      <c r="G112" s="4"/>
      <c r="I112"/>
      <c r="K112"/>
    </row>
    <row r="113" spans="6:11" x14ac:dyDescent="0.35">
      <c r="F113" s="4"/>
      <c r="G113" s="4"/>
      <c r="I113"/>
      <c r="K113"/>
    </row>
    <row r="114" spans="6:11" x14ac:dyDescent="0.35">
      <c r="F114" s="4"/>
      <c r="G114" s="4"/>
      <c r="I114"/>
      <c r="K114"/>
    </row>
    <row r="115" spans="6:11" x14ac:dyDescent="0.35">
      <c r="F115" s="4"/>
      <c r="G115" s="4"/>
      <c r="I115"/>
      <c r="K115"/>
    </row>
    <row r="116" spans="6:11" x14ac:dyDescent="0.35">
      <c r="F116" s="4"/>
      <c r="G116" s="4"/>
      <c r="I116"/>
      <c r="K116"/>
    </row>
    <row r="117" spans="6:11" x14ac:dyDescent="0.35">
      <c r="F117" s="4"/>
      <c r="G117" s="4"/>
      <c r="I117"/>
      <c r="K117"/>
    </row>
    <row r="118" spans="6:11" x14ac:dyDescent="0.35">
      <c r="F118" s="4"/>
      <c r="G118" s="4"/>
      <c r="I118"/>
      <c r="K118"/>
    </row>
    <row r="119" spans="6:11" x14ac:dyDescent="0.35">
      <c r="F119" s="4"/>
      <c r="G119" s="4"/>
      <c r="I119"/>
      <c r="K119"/>
    </row>
    <row r="120" spans="6:11" x14ac:dyDescent="0.35">
      <c r="F120" s="4"/>
      <c r="G120" s="4"/>
      <c r="I120"/>
      <c r="K120"/>
    </row>
    <row r="121" spans="6:11" x14ac:dyDescent="0.35">
      <c r="F121" s="4"/>
      <c r="G121" s="4"/>
      <c r="I121"/>
      <c r="K121"/>
    </row>
    <row r="122" spans="6:11" x14ac:dyDescent="0.35">
      <c r="F122" s="4"/>
      <c r="G122" s="4"/>
      <c r="I122"/>
      <c r="K122"/>
    </row>
    <row r="123" spans="6:11" x14ac:dyDescent="0.35">
      <c r="F123" s="4"/>
      <c r="G123" s="4"/>
      <c r="I123"/>
      <c r="K123"/>
    </row>
    <row r="124" spans="6:11" x14ac:dyDescent="0.35">
      <c r="F124" s="4"/>
      <c r="G124" s="4"/>
      <c r="I124"/>
      <c r="K124"/>
    </row>
    <row r="125" spans="6:11" x14ac:dyDescent="0.35">
      <c r="F125" s="4"/>
      <c r="G125" s="4"/>
      <c r="I125"/>
      <c r="K125"/>
    </row>
    <row r="126" spans="6:11" x14ac:dyDescent="0.35">
      <c r="F126" s="4"/>
      <c r="G126" s="4"/>
      <c r="I126"/>
      <c r="K126"/>
    </row>
    <row r="127" spans="6:11" x14ac:dyDescent="0.35">
      <c r="F127" s="4"/>
      <c r="G127" s="4"/>
      <c r="I127"/>
      <c r="K127"/>
    </row>
    <row r="128" spans="6:11" x14ac:dyDescent="0.35">
      <c r="F128" s="4"/>
      <c r="G128" s="4"/>
      <c r="I128"/>
      <c r="K128"/>
    </row>
    <row r="129" spans="6:11" x14ac:dyDescent="0.35">
      <c r="F129" s="4"/>
      <c r="G129" s="4"/>
      <c r="I129"/>
      <c r="K129"/>
    </row>
    <row r="130" spans="6:11" x14ac:dyDescent="0.35">
      <c r="F130" s="4"/>
      <c r="G130" s="4"/>
      <c r="I130"/>
      <c r="K130"/>
    </row>
    <row r="131" spans="6:11" x14ac:dyDescent="0.35">
      <c r="F131" s="4"/>
      <c r="G131" s="4"/>
      <c r="I131"/>
      <c r="K131"/>
    </row>
    <row r="132" spans="6:11" x14ac:dyDescent="0.35">
      <c r="F132" s="4"/>
      <c r="G132" s="4"/>
      <c r="I132"/>
      <c r="K132"/>
    </row>
    <row r="133" spans="6:11" x14ac:dyDescent="0.35">
      <c r="F133" s="4"/>
      <c r="G133" s="4"/>
      <c r="I133"/>
      <c r="K133"/>
    </row>
    <row r="134" spans="6:11" x14ac:dyDescent="0.35">
      <c r="F134" s="4"/>
      <c r="G134" s="4"/>
      <c r="I134"/>
      <c r="K134"/>
    </row>
    <row r="135" spans="6:11" x14ac:dyDescent="0.35">
      <c r="F135" s="4"/>
      <c r="G135" s="4"/>
      <c r="I135"/>
      <c r="K135"/>
    </row>
    <row r="136" spans="6:11" x14ac:dyDescent="0.35">
      <c r="F136" s="4"/>
      <c r="G136" s="4"/>
      <c r="I136"/>
      <c r="K136"/>
    </row>
    <row r="137" spans="6:11" x14ac:dyDescent="0.35">
      <c r="F137" s="4"/>
      <c r="G137" s="4"/>
      <c r="I137"/>
      <c r="K137"/>
    </row>
    <row r="138" spans="6:11" x14ac:dyDescent="0.35">
      <c r="F138" s="4"/>
      <c r="G138" s="4"/>
      <c r="I138"/>
      <c r="K138"/>
    </row>
    <row r="139" spans="6:11" x14ac:dyDescent="0.35">
      <c r="F139" s="4"/>
      <c r="G139" s="4"/>
      <c r="I139"/>
      <c r="K139"/>
    </row>
    <row r="140" spans="6:11" x14ac:dyDescent="0.35">
      <c r="F140" s="4"/>
      <c r="G140" s="4"/>
      <c r="I140"/>
      <c r="K140"/>
    </row>
    <row r="141" spans="6:11" x14ac:dyDescent="0.35">
      <c r="F141" s="4"/>
      <c r="G141" s="4"/>
      <c r="I141"/>
      <c r="K141"/>
    </row>
    <row r="142" spans="6:11" x14ac:dyDescent="0.35">
      <c r="F142" s="4"/>
      <c r="G142" s="4"/>
      <c r="I142"/>
      <c r="K142"/>
    </row>
    <row r="143" spans="6:11" x14ac:dyDescent="0.35">
      <c r="F143" s="4"/>
      <c r="G143" s="4"/>
      <c r="I143"/>
      <c r="K143"/>
    </row>
    <row r="144" spans="6:11" x14ac:dyDescent="0.35">
      <c r="F144" s="4"/>
      <c r="G144" s="4"/>
      <c r="I144"/>
      <c r="K144"/>
    </row>
    <row r="145" spans="6:11" x14ac:dyDescent="0.35">
      <c r="F145" s="4"/>
      <c r="G145" s="4"/>
      <c r="I145"/>
      <c r="K145"/>
    </row>
    <row r="146" spans="6:11" x14ac:dyDescent="0.35">
      <c r="F146" s="4"/>
      <c r="G146" s="4"/>
      <c r="I146"/>
      <c r="K146"/>
    </row>
    <row r="147" spans="6:11" x14ac:dyDescent="0.35">
      <c r="F147" s="4"/>
      <c r="G147" s="4"/>
      <c r="I147"/>
      <c r="K147"/>
    </row>
    <row r="148" spans="6:11" x14ac:dyDescent="0.35">
      <c r="F148" s="4"/>
      <c r="G148" s="4"/>
      <c r="I148"/>
      <c r="K148"/>
    </row>
    <row r="149" spans="6:11" x14ac:dyDescent="0.35">
      <c r="F149" s="4"/>
      <c r="G149" s="4"/>
      <c r="I149"/>
      <c r="K149"/>
    </row>
    <row r="150" spans="6:11" x14ac:dyDescent="0.35">
      <c r="F150" s="4"/>
      <c r="G150" s="4"/>
      <c r="I150"/>
      <c r="K150"/>
    </row>
    <row r="151" spans="6:11" x14ac:dyDescent="0.35">
      <c r="F151" s="4"/>
      <c r="G151" s="4"/>
      <c r="I151"/>
      <c r="K151"/>
    </row>
    <row r="152" spans="6:11" x14ac:dyDescent="0.35">
      <c r="F152" s="4"/>
      <c r="G152" s="4"/>
      <c r="I152"/>
      <c r="K152"/>
    </row>
    <row r="153" spans="6:11" x14ac:dyDescent="0.35">
      <c r="F153" s="4"/>
      <c r="G153" s="4"/>
      <c r="I153"/>
      <c r="K153"/>
    </row>
    <row r="154" spans="6:11" x14ac:dyDescent="0.35">
      <c r="F154" s="4"/>
      <c r="G154" s="4"/>
      <c r="I154"/>
      <c r="K154"/>
    </row>
    <row r="155" spans="6:11" x14ac:dyDescent="0.35">
      <c r="F155" s="4"/>
      <c r="G155" s="4"/>
      <c r="I155"/>
      <c r="K155"/>
    </row>
    <row r="156" spans="6:11" x14ac:dyDescent="0.35">
      <c r="F156" s="4"/>
      <c r="G156" s="4"/>
      <c r="I156"/>
      <c r="K156"/>
    </row>
    <row r="157" spans="6:11" x14ac:dyDescent="0.35">
      <c r="F157" s="4"/>
      <c r="G157" s="4"/>
      <c r="I157"/>
      <c r="K157"/>
    </row>
    <row r="158" spans="6:11" x14ac:dyDescent="0.35">
      <c r="F158" s="4"/>
      <c r="G158" s="4"/>
      <c r="I158"/>
      <c r="K158"/>
    </row>
    <row r="159" spans="6:11" x14ac:dyDescent="0.35">
      <c r="F159" s="4"/>
      <c r="G159" s="4"/>
      <c r="I159"/>
      <c r="K159"/>
    </row>
    <row r="160" spans="6:11" x14ac:dyDescent="0.35">
      <c r="F160" s="4"/>
      <c r="G160" s="4"/>
      <c r="I160"/>
      <c r="K160"/>
    </row>
    <row r="161" spans="6:11" x14ac:dyDescent="0.35">
      <c r="F161" s="4"/>
      <c r="G161" s="4"/>
      <c r="I161"/>
      <c r="K161"/>
    </row>
    <row r="162" spans="6:11" x14ac:dyDescent="0.35">
      <c r="F162" s="4"/>
      <c r="G162" s="4"/>
      <c r="I162"/>
      <c r="K162"/>
    </row>
    <row r="163" spans="6:11" x14ac:dyDescent="0.35">
      <c r="F163" s="4"/>
      <c r="G163" s="4"/>
      <c r="I163"/>
      <c r="K163"/>
    </row>
    <row r="164" spans="6:11" x14ac:dyDescent="0.35">
      <c r="F164" s="4"/>
      <c r="G164" s="4"/>
      <c r="I164"/>
      <c r="K164"/>
    </row>
    <row r="165" spans="6:11" x14ac:dyDescent="0.35">
      <c r="F165" s="4"/>
      <c r="G165" s="4"/>
      <c r="I165"/>
      <c r="K165"/>
    </row>
    <row r="166" spans="6:11" x14ac:dyDescent="0.35">
      <c r="F166" s="4"/>
      <c r="G166" s="4"/>
      <c r="I166"/>
      <c r="K166"/>
    </row>
    <row r="167" spans="6:11" x14ac:dyDescent="0.35">
      <c r="F167" s="4"/>
      <c r="G167" s="4"/>
      <c r="I167"/>
      <c r="K167"/>
    </row>
    <row r="168" spans="6:11" x14ac:dyDescent="0.35">
      <c r="F168" s="4"/>
      <c r="G168" s="4"/>
      <c r="I168"/>
      <c r="K168"/>
    </row>
    <row r="169" spans="6:11" x14ac:dyDescent="0.35">
      <c r="F169" s="4"/>
      <c r="G169" s="4"/>
      <c r="I169"/>
      <c r="K169"/>
    </row>
    <row r="170" spans="6:11" x14ac:dyDescent="0.35">
      <c r="F170" s="4"/>
      <c r="G170" s="4"/>
      <c r="I170"/>
      <c r="K170"/>
    </row>
    <row r="171" spans="6:11" x14ac:dyDescent="0.35">
      <c r="F171" s="4"/>
      <c r="G171" s="4"/>
      <c r="I171"/>
      <c r="K171"/>
    </row>
    <row r="172" spans="6:11" x14ac:dyDescent="0.35">
      <c r="F172" s="4"/>
      <c r="G172" s="4"/>
      <c r="I172"/>
      <c r="K172"/>
    </row>
    <row r="173" spans="6:11" x14ac:dyDescent="0.35">
      <c r="F173" s="4"/>
      <c r="G173" s="4"/>
      <c r="I173"/>
      <c r="K173"/>
    </row>
    <row r="174" spans="6:11" x14ac:dyDescent="0.35">
      <c r="F174" s="4"/>
      <c r="G174" s="4"/>
      <c r="I174"/>
      <c r="K174"/>
    </row>
    <row r="175" spans="6:11" x14ac:dyDescent="0.35">
      <c r="F175" s="4"/>
      <c r="G175" s="4"/>
      <c r="I175"/>
      <c r="K175"/>
    </row>
    <row r="176" spans="6:11" x14ac:dyDescent="0.35">
      <c r="F176" s="4"/>
      <c r="G176" s="4"/>
      <c r="I176"/>
      <c r="K176"/>
    </row>
    <row r="177" spans="6:11" x14ac:dyDescent="0.35">
      <c r="F177" s="4"/>
      <c r="G177" s="4"/>
      <c r="I177"/>
      <c r="K177"/>
    </row>
    <row r="178" spans="6:11" x14ac:dyDescent="0.35">
      <c r="F178" s="4"/>
      <c r="G178" s="4"/>
      <c r="I178"/>
      <c r="K178"/>
    </row>
    <row r="179" spans="6:11" x14ac:dyDescent="0.35">
      <c r="F179" s="4"/>
      <c r="G179" s="4"/>
      <c r="I179"/>
      <c r="K179"/>
    </row>
    <row r="180" spans="6:11" x14ac:dyDescent="0.35">
      <c r="F180" s="4"/>
      <c r="G180" s="4"/>
      <c r="I180"/>
      <c r="K180"/>
    </row>
    <row r="181" spans="6:11" x14ac:dyDescent="0.35">
      <c r="F181" s="4"/>
      <c r="G181" s="4"/>
      <c r="I181"/>
      <c r="K181"/>
    </row>
    <row r="182" spans="6:11" x14ac:dyDescent="0.35">
      <c r="F182" s="4"/>
      <c r="G182" s="4"/>
      <c r="I182"/>
      <c r="K182"/>
    </row>
    <row r="183" spans="6:11" x14ac:dyDescent="0.35">
      <c r="F183" s="4"/>
      <c r="G183" s="4"/>
      <c r="I183"/>
      <c r="K183"/>
    </row>
    <row r="184" spans="6:11" x14ac:dyDescent="0.35">
      <c r="F184" s="4"/>
      <c r="G184" s="4"/>
      <c r="I184"/>
      <c r="K184"/>
    </row>
    <row r="185" spans="6:11" x14ac:dyDescent="0.35">
      <c r="F185" s="4"/>
      <c r="G185" s="4"/>
      <c r="I185"/>
      <c r="K185"/>
    </row>
    <row r="186" spans="6:11" x14ac:dyDescent="0.35">
      <c r="F186" s="4"/>
      <c r="G186" s="4"/>
      <c r="I186"/>
      <c r="K186"/>
    </row>
    <row r="187" spans="6:11" x14ac:dyDescent="0.35">
      <c r="F187" s="4"/>
      <c r="G187" s="4"/>
      <c r="I187"/>
      <c r="K187"/>
    </row>
    <row r="188" spans="6:11" x14ac:dyDescent="0.35">
      <c r="F188" s="4"/>
      <c r="G188" s="4"/>
      <c r="I188"/>
      <c r="K188"/>
    </row>
    <row r="189" spans="6:11" x14ac:dyDescent="0.35">
      <c r="F189" s="4"/>
      <c r="G189" s="4"/>
      <c r="I189"/>
      <c r="K189"/>
    </row>
    <row r="190" spans="6:11" x14ac:dyDescent="0.35">
      <c r="F190" s="4"/>
      <c r="G190" s="4"/>
      <c r="I190"/>
      <c r="K190"/>
    </row>
    <row r="191" spans="6:11" x14ac:dyDescent="0.35">
      <c r="F191" s="4"/>
      <c r="G191" s="4"/>
      <c r="I191"/>
      <c r="K191"/>
    </row>
    <row r="192" spans="6:11" x14ac:dyDescent="0.35">
      <c r="F192" s="4"/>
      <c r="G192" s="4"/>
      <c r="I192"/>
      <c r="K192"/>
    </row>
    <row r="193" spans="6:11" x14ac:dyDescent="0.35">
      <c r="F193" s="4"/>
      <c r="G193" s="4"/>
      <c r="I193"/>
      <c r="K193"/>
    </row>
    <row r="194" spans="6:11" x14ac:dyDescent="0.35">
      <c r="F194" s="4"/>
      <c r="G194" s="4"/>
      <c r="I194"/>
      <c r="K194"/>
    </row>
    <row r="195" spans="6:11" x14ac:dyDescent="0.35">
      <c r="F195" s="4"/>
      <c r="G195" s="4"/>
      <c r="I195"/>
      <c r="K195"/>
    </row>
    <row r="196" spans="6:11" x14ac:dyDescent="0.35">
      <c r="F196" s="4"/>
      <c r="G196" s="4"/>
      <c r="I196"/>
      <c r="K196"/>
    </row>
    <row r="197" spans="6:11" x14ac:dyDescent="0.35">
      <c r="F197" s="4"/>
      <c r="G197" s="4"/>
      <c r="I197"/>
      <c r="K197"/>
    </row>
    <row r="198" spans="6:11" x14ac:dyDescent="0.35">
      <c r="F198" s="4"/>
      <c r="G198" s="4"/>
      <c r="I198"/>
      <c r="K198"/>
    </row>
    <row r="199" spans="6:11" x14ac:dyDescent="0.35">
      <c r="F199" s="4"/>
      <c r="G199" s="4"/>
      <c r="I199"/>
      <c r="K199"/>
    </row>
    <row r="200" spans="6:11" x14ac:dyDescent="0.35">
      <c r="F200" s="4"/>
      <c r="G200" s="4"/>
      <c r="I200"/>
      <c r="K200"/>
    </row>
    <row r="201" spans="6:11" x14ac:dyDescent="0.35">
      <c r="F201" s="4"/>
      <c r="G201" s="4"/>
      <c r="I201"/>
      <c r="K201"/>
    </row>
    <row r="202" spans="6:11" x14ac:dyDescent="0.35">
      <c r="F202" s="4"/>
      <c r="G202" s="4"/>
      <c r="I202"/>
      <c r="K202"/>
    </row>
    <row r="203" spans="6:11" x14ac:dyDescent="0.35">
      <c r="F203" s="4"/>
      <c r="G203" s="4"/>
      <c r="I203"/>
      <c r="K203"/>
    </row>
    <row r="204" spans="6:11" x14ac:dyDescent="0.35">
      <c r="F204" s="4"/>
      <c r="G204" s="4"/>
      <c r="I204"/>
      <c r="K204"/>
    </row>
    <row r="205" spans="6:11" x14ac:dyDescent="0.35">
      <c r="F205" s="4"/>
      <c r="G205" s="4"/>
      <c r="I205"/>
      <c r="K205"/>
    </row>
    <row r="206" spans="6:11" x14ac:dyDescent="0.35">
      <c r="F206" s="4"/>
      <c r="G206" s="4"/>
      <c r="I206"/>
      <c r="K206"/>
    </row>
    <row r="207" spans="6:11" x14ac:dyDescent="0.35">
      <c r="F207" s="4"/>
      <c r="G207" s="4"/>
      <c r="I207"/>
      <c r="K207"/>
    </row>
    <row r="208" spans="6:11" x14ac:dyDescent="0.35">
      <c r="F208" s="4"/>
      <c r="G208" s="4"/>
      <c r="I208"/>
      <c r="K208"/>
    </row>
    <row r="209" spans="6:11" x14ac:dyDescent="0.35">
      <c r="F209" s="4"/>
      <c r="G209" s="4"/>
      <c r="I209"/>
      <c r="K209"/>
    </row>
    <row r="210" spans="6:11" x14ac:dyDescent="0.35">
      <c r="F210" s="4"/>
      <c r="G210" s="4"/>
      <c r="I210"/>
      <c r="K210"/>
    </row>
    <row r="211" spans="6:11" x14ac:dyDescent="0.35">
      <c r="F211" s="4"/>
      <c r="G211" s="4"/>
      <c r="I211"/>
      <c r="K211"/>
    </row>
    <row r="212" spans="6:11" x14ac:dyDescent="0.35">
      <c r="F212" s="4"/>
      <c r="G212" s="4"/>
      <c r="I212"/>
      <c r="K212"/>
    </row>
    <row r="213" spans="6:11" x14ac:dyDescent="0.35">
      <c r="F213" s="4"/>
      <c r="G213" s="4"/>
      <c r="I213"/>
      <c r="K213"/>
    </row>
    <row r="214" spans="6:11" x14ac:dyDescent="0.35">
      <c r="F214" s="4"/>
      <c r="G214" s="4"/>
      <c r="I214"/>
      <c r="K214"/>
    </row>
    <row r="215" spans="6:11" x14ac:dyDescent="0.35">
      <c r="F215" s="4"/>
      <c r="G215" s="4"/>
      <c r="I215"/>
      <c r="K215"/>
    </row>
    <row r="216" spans="6:11" x14ac:dyDescent="0.35">
      <c r="F216" s="4"/>
      <c r="G216" s="4"/>
      <c r="I216"/>
      <c r="K216"/>
    </row>
    <row r="217" spans="6:11" x14ac:dyDescent="0.35">
      <c r="F217" s="4"/>
      <c r="G217" s="4"/>
      <c r="I217"/>
      <c r="K217"/>
    </row>
    <row r="218" spans="6:11" x14ac:dyDescent="0.35">
      <c r="F218" s="4"/>
      <c r="G218" s="4"/>
      <c r="I218"/>
      <c r="K218"/>
    </row>
    <row r="219" spans="6:11" x14ac:dyDescent="0.35">
      <c r="F219" s="4"/>
      <c r="G219" s="4"/>
      <c r="I219"/>
      <c r="K219"/>
    </row>
    <row r="220" spans="6:11" x14ac:dyDescent="0.35">
      <c r="F220" s="4"/>
      <c r="G220" s="4"/>
      <c r="I220"/>
      <c r="K220"/>
    </row>
    <row r="221" spans="6:11" x14ac:dyDescent="0.35">
      <c r="F221" s="4"/>
      <c r="G221" s="4"/>
      <c r="I221"/>
      <c r="K221"/>
    </row>
    <row r="222" spans="6:11" x14ac:dyDescent="0.35">
      <c r="F222" s="4"/>
      <c r="G222" s="4"/>
      <c r="I222"/>
      <c r="K222"/>
    </row>
    <row r="223" spans="6:11" x14ac:dyDescent="0.35">
      <c r="F223" s="4"/>
      <c r="G223" s="4"/>
      <c r="I223"/>
      <c r="K223"/>
    </row>
    <row r="224" spans="6:11" x14ac:dyDescent="0.35">
      <c r="F224" s="4"/>
      <c r="G224" s="4"/>
      <c r="I224"/>
      <c r="K224"/>
    </row>
    <row r="225" spans="6:11" x14ac:dyDescent="0.35">
      <c r="F225" s="4"/>
      <c r="G225" s="4"/>
      <c r="I225"/>
      <c r="K225"/>
    </row>
    <row r="226" spans="6:11" x14ac:dyDescent="0.35">
      <c r="F226" s="4"/>
      <c r="G226" s="4"/>
      <c r="I226"/>
      <c r="K226"/>
    </row>
    <row r="227" spans="6:11" x14ac:dyDescent="0.35">
      <c r="F227" s="4"/>
      <c r="G227" s="4"/>
      <c r="I227"/>
      <c r="K227"/>
    </row>
    <row r="228" spans="6:11" x14ac:dyDescent="0.35">
      <c r="F228" s="4"/>
      <c r="G228" s="4"/>
      <c r="I228"/>
      <c r="K228"/>
    </row>
    <row r="229" spans="6:11" x14ac:dyDescent="0.35">
      <c r="F229" s="4"/>
      <c r="G229" s="4"/>
      <c r="I229"/>
      <c r="K229"/>
    </row>
    <row r="230" spans="6:11" x14ac:dyDescent="0.35">
      <c r="F230" s="4"/>
      <c r="G230" s="4"/>
      <c r="I230"/>
      <c r="K230"/>
    </row>
    <row r="231" spans="6:11" x14ac:dyDescent="0.35">
      <c r="F231" s="4"/>
      <c r="G231" s="4"/>
      <c r="I231"/>
      <c r="K231"/>
    </row>
    <row r="232" spans="6:11" x14ac:dyDescent="0.35">
      <c r="F232" s="4"/>
      <c r="G232" s="4"/>
      <c r="I232"/>
      <c r="K232"/>
    </row>
    <row r="233" spans="6:11" x14ac:dyDescent="0.35">
      <c r="F233" s="4"/>
      <c r="G233" s="4"/>
      <c r="I233"/>
      <c r="K233"/>
    </row>
    <row r="234" spans="6:11" x14ac:dyDescent="0.35">
      <c r="F234" s="4"/>
      <c r="G234" s="4"/>
      <c r="I234"/>
      <c r="K234"/>
    </row>
    <row r="235" spans="6:11" x14ac:dyDescent="0.35">
      <c r="F235" s="4"/>
      <c r="G235" s="4"/>
      <c r="I235"/>
      <c r="K235"/>
    </row>
    <row r="236" spans="6:11" x14ac:dyDescent="0.35">
      <c r="F236" s="4"/>
      <c r="G236" s="4"/>
      <c r="I236"/>
      <c r="K236"/>
    </row>
    <row r="237" spans="6:11" x14ac:dyDescent="0.35">
      <c r="F237" s="4"/>
      <c r="G237" s="4"/>
      <c r="I237"/>
      <c r="K237"/>
    </row>
    <row r="238" spans="6:11" x14ac:dyDescent="0.35">
      <c r="F238" s="4"/>
      <c r="G238" s="4"/>
      <c r="I238"/>
      <c r="K238"/>
    </row>
    <row r="239" spans="6:11" x14ac:dyDescent="0.35">
      <c r="F239" s="4"/>
      <c r="G239" s="4"/>
      <c r="I239"/>
      <c r="K239"/>
    </row>
    <row r="240" spans="6:11" x14ac:dyDescent="0.35">
      <c r="F240" s="4"/>
      <c r="G240" s="4"/>
      <c r="I240"/>
      <c r="K240"/>
    </row>
    <row r="241" spans="6:11" x14ac:dyDescent="0.35">
      <c r="F241" s="4"/>
      <c r="G241" s="4"/>
      <c r="I241"/>
      <c r="K241"/>
    </row>
    <row r="242" spans="6:11" x14ac:dyDescent="0.35">
      <c r="F242" s="4"/>
      <c r="G242" s="4"/>
      <c r="I242"/>
      <c r="K242"/>
    </row>
    <row r="243" spans="6:11" x14ac:dyDescent="0.35">
      <c r="F243" s="4"/>
      <c r="G243" s="4"/>
      <c r="I243"/>
      <c r="K243"/>
    </row>
    <row r="244" spans="6:11" x14ac:dyDescent="0.35">
      <c r="F244" s="4"/>
      <c r="G244" s="4"/>
      <c r="I244"/>
      <c r="K244"/>
    </row>
    <row r="245" spans="6:11" x14ac:dyDescent="0.35">
      <c r="F245" s="4"/>
      <c r="G245" s="4"/>
      <c r="I245"/>
      <c r="K245"/>
    </row>
    <row r="246" spans="6:11" x14ac:dyDescent="0.35">
      <c r="F246" s="4"/>
      <c r="G246" s="4"/>
      <c r="I246"/>
      <c r="K246"/>
    </row>
    <row r="247" spans="6:11" x14ac:dyDescent="0.35">
      <c r="F247" s="4"/>
      <c r="G247" s="4"/>
      <c r="I247"/>
      <c r="K247"/>
    </row>
    <row r="248" spans="6:11" x14ac:dyDescent="0.35">
      <c r="F248" s="4"/>
      <c r="G248" s="4"/>
      <c r="I248"/>
      <c r="K248"/>
    </row>
    <row r="249" spans="6:11" x14ac:dyDescent="0.35">
      <c r="F249" s="4"/>
      <c r="G249" s="4"/>
      <c r="I249"/>
      <c r="K249"/>
    </row>
    <row r="250" spans="6:11" x14ac:dyDescent="0.35">
      <c r="F250" s="4"/>
      <c r="G250" s="4"/>
      <c r="I250"/>
      <c r="K250"/>
    </row>
    <row r="251" spans="6:11" x14ac:dyDescent="0.35">
      <c r="F251" s="4"/>
      <c r="G251" s="4"/>
      <c r="I251"/>
      <c r="K251"/>
    </row>
    <row r="252" spans="6:11" x14ac:dyDescent="0.35">
      <c r="F252" s="4"/>
      <c r="G252" s="4"/>
      <c r="I252"/>
      <c r="K252"/>
    </row>
    <row r="253" spans="6:11" x14ac:dyDescent="0.35">
      <c r="F253" s="4"/>
      <c r="G253" s="4"/>
      <c r="I253"/>
      <c r="K253"/>
    </row>
    <row r="254" spans="6:11" x14ac:dyDescent="0.35">
      <c r="F254" s="4"/>
      <c r="G254" s="4"/>
      <c r="I254"/>
      <c r="K254"/>
    </row>
    <row r="255" spans="6:11" x14ac:dyDescent="0.35">
      <c r="F255" s="4"/>
      <c r="G255" s="4"/>
      <c r="I255"/>
      <c r="K255"/>
    </row>
    <row r="256" spans="6:11" x14ac:dyDescent="0.35">
      <c r="F256" s="4"/>
      <c r="G256" s="4"/>
      <c r="I256"/>
      <c r="K256"/>
    </row>
    <row r="257" spans="6:11" x14ac:dyDescent="0.35">
      <c r="F257" s="4"/>
      <c r="G257" s="4"/>
      <c r="I257"/>
      <c r="K257"/>
    </row>
    <row r="258" spans="6:11" x14ac:dyDescent="0.35">
      <c r="F258" s="4"/>
      <c r="G258" s="4"/>
      <c r="I258"/>
      <c r="K258"/>
    </row>
    <row r="259" spans="6:11" x14ac:dyDescent="0.35">
      <c r="F259" s="4"/>
      <c r="G259" s="4"/>
      <c r="I259"/>
      <c r="K259"/>
    </row>
    <row r="260" spans="6:11" x14ac:dyDescent="0.35">
      <c r="F260" s="4"/>
      <c r="G260" s="4"/>
      <c r="I260"/>
      <c r="K260"/>
    </row>
    <row r="261" spans="6:11" x14ac:dyDescent="0.35">
      <c r="F261" s="4"/>
      <c r="G261" s="4"/>
      <c r="I261"/>
      <c r="K261"/>
    </row>
    <row r="262" spans="6:11" x14ac:dyDescent="0.35">
      <c r="F262" s="4"/>
      <c r="G262" s="4"/>
      <c r="I262"/>
      <c r="K262"/>
    </row>
    <row r="263" spans="6:11" x14ac:dyDescent="0.35">
      <c r="F263" s="4"/>
      <c r="G263" s="4"/>
      <c r="I263"/>
      <c r="K263"/>
    </row>
    <row r="264" spans="6:11" x14ac:dyDescent="0.35">
      <c r="F264" s="4"/>
      <c r="G264" s="4"/>
      <c r="I264"/>
      <c r="K264"/>
    </row>
    <row r="265" spans="6:11" x14ac:dyDescent="0.35">
      <c r="F265" s="4"/>
      <c r="G265" s="4"/>
      <c r="I265"/>
      <c r="K265"/>
    </row>
    <row r="266" spans="6:11" x14ac:dyDescent="0.35">
      <c r="F266" s="4"/>
      <c r="G266" s="4"/>
      <c r="I266"/>
      <c r="K266"/>
    </row>
    <row r="267" spans="6:11" x14ac:dyDescent="0.35">
      <c r="F267" s="4"/>
      <c r="G267" s="4"/>
      <c r="I267"/>
      <c r="K267"/>
    </row>
    <row r="268" spans="6:11" x14ac:dyDescent="0.35">
      <c r="F268" s="4"/>
      <c r="G268" s="4"/>
      <c r="I268"/>
      <c r="K268"/>
    </row>
    <row r="269" spans="6:11" x14ac:dyDescent="0.35">
      <c r="F269" s="4"/>
      <c r="G269" s="4"/>
      <c r="I269"/>
      <c r="K269"/>
    </row>
    <row r="270" spans="6:11" x14ac:dyDescent="0.35">
      <c r="F270" s="4"/>
      <c r="G270" s="4"/>
      <c r="I270"/>
      <c r="K270"/>
    </row>
    <row r="271" spans="6:11" x14ac:dyDescent="0.35">
      <c r="F271" s="4"/>
      <c r="G271" s="4"/>
      <c r="I271"/>
      <c r="K271"/>
    </row>
    <row r="272" spans="6:11" x14ac:dyDescent="0.35">
      <c r="F272" s="4"/>
      <c r="G272" s="4"/>
      <c r="I272"/>
      <c r="K272"/>
    </row>
    <row r="273" spans="6:11" x14ac:dyDescent="0.35">
      <c r="F273" s="4"/>
      <c r="G273" s="4"/>
      <c r="I273"/>
      <c r="K273"/>
    </row>
    <row r="274" spans="6:11" x14ac:dyDescent="0.35">
      <c r="F274" s="4"/>
      <c r="G274" s="4"/>
      <c r="I274"/>
      <c r="K274"/>
    </row>
    <row r="275" spans="6:11" x14ac:dyDescent="0.35">
      <c r="F275" s="4"/>
      <c r="G275" s="4"/>
      <c r="I275"/>
      <c r="K275"/>
    </row>
    <row r="276" spans="6:11" x14ac:dyDescent="0.35">
      <c r="F276" s="4"/>
      <c r="G276" s="4"/>
      <c r="I276"/>
      <c r="K276"/>
    </row>
    <row r="277" spans="6:11" x14ac:dyDescent="0.35">
      <c r="F277" s="4"/>
      <c r="G277" s="4"/>
      <c r="I277"/>
      <c r="K277"/>
    </row>
    <row r="278" spans="6:11" x14ac:dyDescent="0.35">
      <c r="F278" s="4"/>
      <c r="G278" s="4"/>
      <c r="I278"/>
      <c r="K278"/>
    </row>
    <row r="279" spans="6:11" x14ac:dyDescent="0.35">
      <c r="F279" s="4"/>
      <c r="G279" s="4"/>
      <c r="I279"/>
      <c r="K279"/>
    </row>
    <row r="280" spans="6:11" x14ac:dyDescent="0.35">
      <c r="F280" s="4"/>
      <c r="G280" s="4"/>
      <c r="I280"/>
      <c r="K280"/>
    </row>
    <row r="281" spans="6:11" x14ac:dyDescent="0.35">
      <c r="F281" s="4"/>
      <c r="G281" s="4"/>
      <c r="I281"/>
      <c r="K281"/>
    </row>
    <row r="282" spans="6:11" x14ac:dyDescent="0.35">
      <c r="F282" s="4"/>
      <c r="G282" s="4"/>
      <c r="I282"/>
      <c r="K282"/>
    </row>
    <row r="283" spans="6:11" x14ac:dyDescent="0.35">
      <c r="F283" s="4"/>
      <c r="G283" s="4"/>
      <c r="I283"/>
      <c r="K283"/>
    </row>
    <row r="284" spans="6:11" x14ac:dyDescent="0.35">
      <c r="F284" s="4"/>
      <c r="G284" s="4"/>
      <c r="I284"/>
      <c r="K284"/>
    </row>
    <row r="285" spans="6:11" x14ac:dyDescent="0.35">
      <c r="F285" s="4"/>
      <c r="G285" s="4"/>
      <c r="I285"/>
      <c r="K285"/>
    </row>
    <row r="286" spans="6:11" x14ac:dyDescent="0.35">
      <c r="F286" s="4"/>
      <c r="G286" s="4"/>
      <c r="I286"/>
      <c r="K286"/>
    </row>
    <row r="287" spans="6:11" x14ac:dyDescent="0.35">
      <c r="F287" s="4"/>
      <c r="G287" s="4"/>
      <c r="I287"/>
      <c r="K287"/>
    </row>
    <row r="288" spans="6:11" x14ac:dyDescent="0.35">
      <c r="F288" s="4"/>
      <c r="G288" s="4"/>
      <c r="I288"/>
      <c r="K288"/>
    </row>
    <row r="289" spans="6:11" x14ac:dyDescent="0.35">
      <c r="F289" s="4"/>
      <c r="G289" s="4"/>
      <c r="I289"/>
      <c r="K289"/>
    </row>
    <row r="290" spans="6:11" x14ac:dyDescent="0.35">
      <c r="F290" s="4"/>
      <c r="G290" s="4"/>
      <c r="I290"/>
      <c r="K290"/>
    </row>
    <row r="291" spans="6:11" x14ac:dyDescent="0.35">
      <c r="F291" s="4"/>
      <c r="G291" s="4"/>
      <c r="I291"/>
      <c r="K291"/>
    </row>
    <row r="292" spans="6:11" x14ac:dyDescent="0.35">
      <c r="F292" s="4"/>
      <c r="G292" s="4"/>
      <c r="I292"/>
      <c r="K292"/>
    </row>
    <row r="293" spans="6:11" x14ac:dyDescent="0.35">
      <c r="F293" s="4"/>
      <c r="G293" s="4"/>
      <c r="I293"/>
      <c r="K293"/>
    </row>
    <row r="294" spans="6:11" x14ac:dyDescent="0.35">
      <c r="F294" s="4"/>
      <c r="G294" s="4"/>
      <c r="I294"/>
      <c r="K294"/>
    </row>
    <row r="295" spans="6:11" x14ac:dyDescent="0.35">
      <c r="F295" s="4"/>
      <c r="G295" s="4"/>
      <c r="I295"/>
      <c r="K295"/>
    </row>
    <row r="296" spans="6:11" x14ac:dyDescent="0.35">
      <c r="F296" s="4"/>
      <c r="G296" s="4"/>
      <c r="I296"/>
      <c r="K296"/>
    </row>
    <row r="297" spans="6:11" x14ac:dyDescent="0.35">
      <c r="F297" s="4"/>
      <c r="G297" s="4"/>
      <c r="I297"/>
      <c r="K297"/>
    </row>
    <row r="298" spans="6:11" x14ac:dyDescent="0.35">
      <c r="F298" s="4"/>
      <c r="G298" s="4"/>
      <c r="I298"/>
      <c r="K298"/>
    </row>
    <row r="299" spans="6:11" x14ac:dyDescent="0.35">
      <c r="F299" s="4"/>
      <c r="G299" s="4"/>
      <c r="I299"/>
      <c r="K299"/>
    </row>
    <row r="300" spans="6:11" x14ac:dyDescent="0.35">
      <c r="F300" s="4"/>
      <c r="G300" s="4"/>
      <c r="I300"/>
      <c r="K300"/>
    </row>
    <row r="301" spans="6:11" x14ac:dyDescent="0.35">
      <c r="F301" s="4"/>
      <c r="G301" s="4"/>
      <c r="I301"/>
      <c r="K301"/>
    </row>
    <row r="302" spans="6:11" x14ac:dyDescent="0.35">
      <c r="F302" s="4"/>
      <c r="G302" s="4"/>
      <c r="I302"/>
      <c r="K302"/>
    </row>
    <row r="303" spans="6:11" x14ac:dyDescent="0.35">
      <c r="F303" s="4"/>
      <c r="G303" s="4"/>
      <c r="I303"/>
      <c r="K303"/>
    </row>
    <row r="304" spans="6:11" x14ac:dyDescent="0.35">
      <c r="F304" s="4"/>
      <c r="G304" s="4"/>
      <c r="I304"/>
      <c r="K304"/>
    </row>
    <row r="305" spans="6:11" x14ac:dyDescent="0.35">
      <c r="F305" s="4"/>
      <c r="G305" s="4"/>
      <c r="I305"/>
      <c r="K305"/>
    </row>
    <row r="306" spans="6:11" x14ac:dyDescent="0.35">
      <c r="F306" s="4"/>
      <c r="G306" s="4"/>
      <c r="I306"/>
      <c r="K306"/>
    </row>
    <row r="307" spans="6:11" x14ac:dyDescent="0.35">
      <c r="F307" s="4"/>
      <c r="G307" s="4"/>
      <c r="I307"/>
      <c r="K307"/>
    </row>
    <row r="308" spans="6:11" x14ac:dyDescent="0.35">
      <c r="F308" s="4"/>
      <c r="G308" s="4"/>
      <c r="I308"/>
      <c r="K308"/>
    </row>
    <row r="309" spans="6:11" x14ac:dyDescent="0.35">
      <c r="F309" s="4"/>
      <c r="G309" s="4"/>
      <c r="I309"/>
      <c r="K309"/>
    </row>
    <row r="310" spans="6:11" x14ac:dyDescent="0.35">
      <c r="F310" s="4"/>
      <c r="G310" s="4"/>
      <c r="I310"/>
      <c r="K310"/>
    </row>
    <row r="311" spans="6:11" x14ac:dyDescent="0.35">
      <c r="F311" s="4"/>
      <c r="G311" s="4"/>
      <c r="I311"/>
      <c r="K311"/>
    </row>
    <row r="312" spans="6:11" x14ac:dyDescent="0.35">
      <c r="F312" s="4"/>
      <c r="G312" s="4"/>
      <c r="I312"/>
      <c r="K312"/>
    </row>
    <row r="313" spans="6:11" x14ac:dyDescent="0.35">
      <c r="F313" s="4"/>
      <c r="G313" s="4"/>
      <c r="I313"/>
      <c r="K313"/>
    </row>
    <row r="314" spans="6:11" x14ac:dyDescent="0.35">
      <c r="F314" s="4"/>
      <c r="G314" s="4"/>
      <c r="I314"/>
      <c r="K314"/>
    </row>
    <row r="315" spans="6:11" x14ac:dyDescent="0.35">
      <c r="F315" s="4"/>
      <c r="G315" s="4"/>
      <c r="I315"/>
      <c r="K315"/>
    </row>
    <row r="316" spans="6:11" x14ac:dyDescent="0.35">
      <c r="F316" s="4"/>
      <c r="G316" s="4"/>
      <c r="I316"/>
      <c r="K316"/>
    </row>
    <row r="317" spans="6:11" x14ac:dyDescent="0.35">
      <c r="F317" s="4"/>
      <c r="G317" s="4"/>
      <c r="I317"/>
      <c r="K317"/>
    </row>
    <row r="318" spans="6:11" x14ac:dyDescent="0.35">
      <c r="F318" s="4"/>
      <c r="G318" s="4"/>
      <c r="I318"/>
      <c r="K318"/>
    </row>
    <row r="319" spans="6:11" x14ac:dyDescent="0.35">
      <c r="F319" s="4"/>
      <c r="G319" s="4"/>
      <c r="I319"/>
      <c r="K319"/>
    </row>
    <row r="320" spans="6:11" x14ac:dyDescent="0.35">
      <c r="F320" s="4"/>
      <c r="G320" s="4"/>
      <c r="I320"/>
      <c r="K320"/>
    </row>
    <row r="321" spans="6:11" x14ac:dyDescent="0.35">
      <c r="F321" s="4"/>
      <c r="G321" s="4"/>
      <c r="I321"/>
      <c r="K321"/>
    </row>
    <row r="322" spans="6:11" x14ac:dyDescent="0.35">
      <c r="F322" s="4"/>
      <c r="G322" s="4"/>
      <c r="I322"/>
      <c r="K322"/>
    </row>
    <row r="323" spans="6:11" x14ac:dyDescent="0.35">
      <c r="F323" s="4"/>
      <c r="G323" s="4"/>
      <c r="I323"/>
      <c r="K323"/>
    </row>
    <row r="324" spans="6:11" x14ac:dyDescent="0.35">
      <c r="F324" s="4"/>
      <c r="G324" s="4"/>
      <c r="I324"/>
      <c r="K324"/>
    </row>
    <row r="325" spans="6:11" x14ac:dyDescent="0.35">
      <c r="F325" s="4"/>
      <c r="G325" s="4"/>
      <c r="I325"/>
      <c r="K325"/>
    </row>
    <row r="326" spans="6:11" x14ac:dyDescent="0.35">
      <c r="F326" s="4"/>
      <c r="G326" s="4"/>
      <c r="I326"/>
      <c r="K326"/>
    </row>
    <row r="327" spans="6:11" x14ac:dyDescent="0.35">
      <c r="F327" s="4"/>
      <c r="G327" s="4"/>
      <c r="I327"/>
      <c r="K327"/>
    </row>
    <row r="328" spans="6:11" x14ac:dyDescent="0.35">
      <c r="F328" s="4"/>
      <c r="G328" s="4"/>
      <c r="I328"/>
      <c r="K328"/>
    </row>
    <row r="329" spans="6:11" x14ac:dyDescent="0.35">
      <c r="F329" s="4"/>
      <c r="G329" s="4"/>
      <c r="I329"/>
      <c r="K329"/>
    </row>
    <row r="330" spans="6:11" x14ac:dyDescent="0.35">
      <c r="F330" s="4"/>
      <c r="G330" s="4"/>
      <c r="I330"/>
      <c r="K330"/>
    </row>
    <row r="331" spans="6:11" x14ac:dyDescent="0.35">
      <c r="F331" s="4"/>
      <c r="G331" s="4"/>
      <c r="I331"/>
      <c r="K331"/>
    </row>
    <row r="332" spans="6:11" x14ac:dyDescent="0.35">
      <c r="F332" s="4"/>
      <c r="G332" s="4"/>
      <c r="I332"/>
      <c r="K332"/>
    </row>
    <row r="333" spans="6:11" x14ac:dyDescent="0.35">
      <c r="F333" s="4"/>
      <c r="G333" s="4"/>
      <c r="I333"/>
      <c r="K333"/>
    </row>
    <row r="334" spans="6:11" x14ac:dyDescent="0.35">
      <c r="F334" s="4"/>
      <c r="G334" s="4"/>
      <c r="I334"/>
      <c r="K334"/>
    </row>
    <row r="335" spans="6:11" x14ac:dyDescent="0.35">
      <c r="F335" s="4"/>
      <c r="G335" s="4"/>
      <c r="I335"/>
      <c r="K335"/>
    </row>
    <row r="336" spans="6:11" x14ac:dyDescent="0.35">
      <c r="F336" s="4"/>
      <c r="G336" s="4"/>
      <c r="I336"/>
      <c r="K336"/>
    </row>
    <row r="337" spans="6:11" x14ac:dyDescent="0.35">
      <c r="F337" s="4"/>
      <c r="G337" s="4"/>
      <c r="I337"/>
      <c r="K337"/>
    </row>
    <row r="338" spans="6:11" x14ac:dyDescent="0.35">
      <c r="F338" s="4"/>
      <c r="G338" s="4"/>
      <c r="I338"/>
      <c r="K338"/>
    </row>
    <row r="339" spans="6:11" x14ac:dyDescent="0.35">
      <c r="F339" s="4"/>
      <c r="G339" s="4"/>
      <c r="I339"/>
      <c r="K339"/>
    </row>
    <row r="340" spans="6:11" x14ac:dyDescent="0.35">
      <c r="F340" s="4"/>
      <c r="G340" s="4"/>
      <c r="I340"/>
      <c r="K340"/>
    </row>
    <row r="341" spans="6:11" x14ac:dyDescent="0.35">
      <c r="F341" s="4"/>
      <c r="G341" s="4"/>
      <c r="I341"/>
      <c r="K341"/>
    </row>
    <row r="342" spans="6:11" x14ac:dyDescent="0.35">
      <c r="F342" s="4"/>
      <c r="G342" s="4"/>
      <c r="I342"/>
      <c r="K342"/>
    </row>
    <row r="343" spans="6:11" x14ac:dyDescent="0.35">
      <c r="F343" s="4"/>
      <c r="G343" s="4"/>
      <c r="I343"/>
      <c r="K343"/>
    </row>
    <row r="344" spans="6:11" x14ac:dyDescent="0.35">
      <c r="F344" s="4"/>
      <c r="G344" s="4"/>
      <c r="I344"/>
      <c r="K344"/>
    </row>
    <row r="345" spans="6:11" x14ac:dyDescent="0.35">
      <c r="F345" s="4"/>
      <c r="G345" s="4"/>
      <c r="I345"/>
      <c r="K345"/>
    </row>
    <row r="346" spans="6:11" x14ac:dyDescent="0.35">
      <c r="F346" s="4"/>
      <c r="G346" s="4"/>
      <c r="I346"/>
      <c r="K346"/>
    </row>
    <row r="347" spans="6:11" x14ac:dyDescent="0.35">
      <c r="F347" s="4"/>
      <c r="G347" s="4"/>
      <c r="I347"/>
      <c r="K347"/>
    </row>
    <row r="348" spans="6:11" x14ac:dyDescent="0.35">
      <c r="F348" s="4"/>
      <c r="G348" s="4"/>
      <c r="I348"/>
      <c r="K348"/>
    </row>
    <row r="349" spans="6:11" x14ac:dyDescent="0.35">
      <c r="F349" s="4"/>
      <c r="G349" s="4"/>
      <c r="I349"/>
      <c r="K349"/>
    </row>
    <row r="350" spans="6:11" x14ac:dyDescent="0.35">
      <c r="F350" s="4"/>
      <c r="G350" s="4"/>
      <c r="I350"/>
      <c r="K350"/>
    </row>
    <row r="351" spans="6:11" x14ac:dyDescent="0.35">
      <c r="F351" s="4"/>
      <c r="G351" s="4"/>
      <c r="I351"/>
      <c r="K351"/>
    </row>
    <row r="352" spans="6:11" x14ac:dyDescent="0.35">
      <c r="F352" s="4"/>
      <c r="G352" s="4"/>
      <c r="I352"/>
      <c r="K352"/>
    </row>
    <row r="353" spans="6:11" x14ac:dyDescent="0.35">
      <c r="F353" s="4"/>
      <c r="G353" s="4"/>
      <c r="I353"/>
      <c r="K353"/>
    </row>
    <row r="354" spans="6:11" x14ac:dyDescent="0.35">
      <c r="F354" s="4"/>
      <c r="G354" s="4"/>
      <c r="I354"/>
      <c r="K354"/>
    </row>
    <row r="355" spans="6:11" x14ac:dyDescent="0.35">
      <c r="F355" s="4"/>
      <c r="G355" s="4"/>
      <c r="I355"/>
      <c r="K355"/>
    </row>
    <row r="356" spans="6:11" x14ac:dyDescent="0.35">
      <c r="F356" s="4"/>
      <c r="G356" s="4"/>
      <c r="I356"/>
      <c r="K356"/>
    </row>
    <row r="357" spans="6:11" x14ac:dyDescent="0.35">
      <c r="F357" s="4"/>
      <c r="G357" s="4"/>
      <c r="I357"/>
      <c r="K357"/>
    </row>
    <row r="358" spans="6:11" x14ac:dyDescent="0.35">
      <c r="F358" s="4"/>
      <c r="G358" s="4"/>
      <c r="I358"/>
      <c r="K358"/>
    </row>
    <row r="359" spans="6:11" x14ac:dyDescent="0.35">
      <c r="F359" s="4"/>
      <c r="G359" s="4"/>
      <c r="I359"/>
      <c r="K359"/>
    </row>
    <row r="360" spans="6:11" x14ac:dyDescent="0.35">
      <c r="F360" s="4"/>
      <c r="G360" s="4"/>
      <c r="I360"/>
      <c r="K360"/>
    </row>
    <row r="361" spans="6:11" x14ac:dyDescent="0.35">
      <c r="F361" s="4"/>
      <c r="G361" s="4"/>
      <c r="I361"/>
      <c r="K361"/>
    </row>
    <row r="362" spans="6:11" x14ac:dyDescent="0.35">
      <c r="F362" s="4"/>
      <c r="G362" s="4"/>
      <c r="I362"/>
      <c r="K362"/>
    </row>
    <row r="363" spans="6:11" x14ac:dyDescent="0.35">
      <c r="F363" s="4"/>
      <c r="G363" s="4"/>
      <c r="I363"/>
      <c r="K363"/>
    </row>
    <row r="364" spans="6:11" x14ac:dyDescent="0.35">
      <c r="F364" s="4"/>
      <c r="G364" s="4"/>
      <c r="I364"/>
      <c r="K364"/>
    </row>
    <row r="365" spans="6:11" x14ac:dyDescent="0.35">
      <c r="F365" s="4"/>
      <c r="G365" s="4"/>
      <c r="I365"/>
      <c r="K365"/>
    </row>
    <row r="366" spans="6:11" x14ac:dyDescent="0.35">
      <c r="F366" s="4"/>
      <c r="G366" s="4"/>
      <c r="I366"/>
      <c r="K366"/>
    </row>
    <row r="367" spans="6:11" x14ac:dyDescent="0.35">
      <c r="F367" s="4"/>
      <c r="G367" s="4"/>
      <c r="I367"/>
      <c r="K367"/>
    </row>
    <row r="368" spans="6:11" x14ac:dyDescent="0.35">
      <c r="F368" s="4"/>
      <c r="G368" s="4"/>
      <c r="I368"/>
      <c r="K368"/>
    </row>
    <row r="369" spans="6:11" x14ac:dyDescent="0.35">
      <c r="F369" s="4"/>
      <c r="G369" s="4"/>
      <c r="I369"/>
      <c r="K369"/>
    </row>
    <row r="370" spans="6:11" x14ac:dyDescent="0.35">
      <c r="F370" s="4"/>
      <c r="G370" s="4"/>
      <c r="I370"/>
      <c r="K370"/>
    </row>
    <row r="371" spans="6:11" x14ac:dyDescent="0.35">
      <c r="F371" s="4"/>
      <c r="G371" s="4"/>
      <c r="I371"/>
      <c r="K371"/>
    </row>
    <row r="372" spans="6:11" x14ac:dyDescent="0.35">
      <c r="F372" s="4"/>
      <c r="G372" s="4"/>
      <c r="I372"/>
      <c r="K372"/>
    </row>
    <row r="373" spans="6:11" x14ac:dyDescent="0.35">
      <c r="F373" s="4"/>
      <c r="G373" s="4"/>
      <c r="I373"/>
      <c r="K373"/>
    </row>
    <row r="374" spans="6:11" x14ac:dyDescent="0.35">
      <c r="F374" s="4"/>
      <c r="G374" s="4"/>
      <c r="I374"/>
      <c r="K374"/>
    </row>
    <row r="375" spans="6:11" x14ac:dyDescent="0.35">
      <c r="F375" s="4"/>
      <c r="G375" s="4"/>
      <c r="I375"/>
      <c r="K375"/>
    </row>
    <row r="376" spans="6:11" x14ac:dyDescent="0.35">
      <c r="F376" s="4"/>
      <c r="G376" s="4"/>
      <c r="I376"/>
      <c r="K376"/>
    </row>
    <row r="377" spans="6:11" x14ac:dyDescent="0.35">
      <c r="F377" s="4"/>
      <c r="G377" s="4"/>
      <c r="I377"/>
      <c r="K377"/>
    </row>
    <row r="378" spans="6:11" x14ac:dyDescent="0.35">
      <c r="F378" s="4"/>
      <c r="G378" s="4"/>
      <c r="I378"/>
      <c r="K378"/>
    </row>
    <row r="379" spans="6:11" x14ac:dyDescent="0.35">
      <c r="F379" s="4"/>
      <c r="G379" s="4"/>
      <c r="I379"/>
      <c r="K379"/>
    </row>
    <row r="380" spans="6:11" x14ac:dyDescent="0.35">
      <c r="F380" s="4"/>
      <c r="G380" s="4"/>
      <c r="I380"/>
      <c r="K380"/>
    </row>
    <row r="381" spans="6:11" x14ac:dyDescent="0.35">
      <c r="F381" s="4"/>
      <c r="G381" s="4"/>
      <c r="I381"/>
      <c r="K381"/>
    </row>
    <row r="382" spans="6:11" x14ac:dyDescent="0.35">
      <c r="F382" s="4"/>
      <c r="G382" s="4"/>
      <c r="I382"/>
      <c r="K382"/>
    </row>
    <row r="383" spans="6:11" x14ac:dyDescent="0.35">
      <c r="F383" s="4"/>
      <c r="G383" s="4"/>
      <c r="I383"/>
      <c r="K383"/>
    </row>
    <row r="384" spans="6:11" x14ac:dyDescent="0.35">
      <c r="F384" s="4"/>
      <c r="G384" s="4"/>
      <c r="I384"/>
      <c r="K384"/>
    </row>
    <row r="385" spans="6:11" x14ac:dyDescent="0.35">
      <c r="F385" s="4"/>
      <c r="G385" s="4"/>
      <c r="I385"/>
      <c r="K385"/>
    </row>
    <row r="386" spans="6:11" x14ac:dyDescent="0.35">
      <c r="F386" s="4"/>
      <c r="G386" s="4"/>
      <c r="I386"/>
      <c r="K386"/>
    </row>
    <row r="387" spans="6:11" x14ac:dyDescent="0.35">
      <c r="F387" s="4"/>
      <c r="G387" s="4"/>
      <c r="I387"/>
      <c r="K387"/>
    </row>
    <row r="388" spans="6:11" x14ac:dyDescent="0.35">
      <c r="F388" s="4"/>
      <c r="G388" s="4"/>
      <c r="I388"/>
      <c r="K388"/>
    </row>
    <row r="389" spans="6:11" x14ac:dyDescent="0.35">
      <c r="F389" s="4"/>
      <c r="G389" s="4"/>
      <c r="I389"/>
      <c r="K389"/>
    </row>
    <row r="390" spans="6:11" x14ac:dyDescent="0.35">
      <c r="F390" s="4"/>
      <c r="G390" s="4"/>
      <c r="I390"/>
      <c r="K390"/>
    </row>
    <row r="391" spans="6:11" x14ac:dyDescent="0.35">
      <c r="F391" s="4"/>
      <c r="G391" s="4"/>
      <c r="I391"/>
      <c r="K391"/>
    </row>
    <row r="392" spans="6:11" x14ac:dyDescent="0.35">
      <c r="F392" s="4"/>
      <c r="G392" s="4"/>
      <c r="I392"/>
      <c r="K392"/>
    </row>
    <row r="393" spans="6:11" x14ac:dyDescent="0.35">
      <c r="F393" s="4"/>
      <c r="G393" s="4"/>
      <c r="I393"/>
      <c r="K393"/>
    </row>
    <row r="394" spans="6:11" x14ac:dyDescent="0.35">
      <c r="F394" s="4"/>
      <c r="G394" s="4"/>
      <c r="I394"/>
      <c r="K394"/>
    </row>
    <row r="395" spans="6:11" x14ac:dyDescent="0.35">
      <c r="F395" s="4"/>
      <c r="G395" s="4"/>
      <c r="I395"/>
      <c r="K395"/>
    </row>
    <row r="396" spans="6:11" x14ac:dyDescent="0.35">
      <c r="F396" s="4"/>
      <c r="G396" s="4"/>
      <c r="I396"/>
      <c r="K396"/>
    </row>
    <row r="397" spans="6:11" x14ac:dyDescent="0.35">
      <c r="F397" s="4"/>
      <c r="G397" s="4"/>
      <c r="I397"/>
      <c r="K397"/>
    </row>
    <row r="398" spans="6:11" x14ac:dyDescent="0.35">
      <c r="F398" s="4"/>
      <c r="G398" s="4"/>
      <c r="I398"/>
      <c r="K398"/>
    </row>
    <row r="399" spans="6:11" x14ac:dyDescent="0.35">
      <c r="F399" s="4"/>
      <c r="G399" s="4"/>
      <c r="I399"/>
      <c r="K399"/>
    </row>
    <row r="400" spans="6:11" x14ac:dyDescent="0.35">
      <c r="F400" s="4"/>
      <c r="G400" s="4"/>
      <c r="I400"/>
      <c r="K400"/>
    </row>
    <row r="401" spans="6:11" x14ac:dyDescent="0.35">
      <c r="F401" s="4"/>
      <c r="G401" s="4"/>
      <c r="I401"/>
      <c r="K401"/>
    </row>
    <row r="402" spans="6:11" x14ac:dyDescent="0.35">
      <c r="F402" s="4"/>
      <c r="G402" s="4"/>
      <c r="I402"/>
      <c r="K402"/>
    </row>
    <row r="403" spans="6:11" x14ac:dyDescent="0.35">
      <c r="F403" s="4"/>
      <c r="G403" s="4"/>
      <c r="I403"/>
      <c r="K403"/>
    </row>
    <row r="404" spans="6:11" x14ac:dyDescent="0.35">
      <c r="F404" s="4"/>
      <c r="G404" s="4"/>
      <c r="I404"/>
      <c r="K404"/>
    </row>
    <row r="405" spans="6:11" x14ac:dyDescent="0.35">
      <c r="F405" s="4"/>
      <c r="G405" s="4"/>
      <c r="I405"/>
      <c r="K405"/>
    </row>
    <row r="406" spans="6:11" x14ac:dyDescent="0.35">
      <c r="F406" s="4"/>
      <c r="G406" s="4"/>
      <c r="I406"/>
      <c r="K406"/>
    </row>
    <row r="407" spans="6:11" x14ac:dyDescent="0.35">
      <c r="F407" s="4"/>
      <c r="G407" s="4"/>
      <c r="I407"/>
      <c r="K407"/>
    </row>
    <row r="408" spans="6:11" x14ac:dyDescent="0.35">
      <c r="F408" s="4"/>
      <c r="G408" s="4"/>
      <c r="I408"/>
      <c r="K408"/>
    </row>
    <row r="409" spans="6:11" x14ac:dyDescent="0.35">
      <c r="F409" s="4"/>
      <c r="G409" s="4"/>
      <c r="I409"/>
      <c r="K409"/>
    </row>
    <row r="410" spans="6:11" x14ac:dyDescent="0.35">
      <c r="F410" s="4"/>
      <c r="G410" s="4"/>
      <c r="I410"/>
      <c r="K410"/>
    </row>
    <row r="411" spans="6:11" x14ac:dyDescent="0.35">
      <c r="F411" s="4"/>
      <c r="G411" s="4"/>
      <c r="I411"/>
      <c r="K411"/>
    </row>
    <row r="412" spans="6:11" x14ac:dyDescent="0.35">
      <c r="F412" s="4"/>
      <c r="G412" s="4"/>
      <c r="I412"/>
      <c r="K412"/>
    </row>
    <row r="413" spans="6:11" x14ac:dyDescent="0.35">
      <c r="F413" s="4"/>
      <c r="G413" s="4"/>
      <c r="I413"/>
      <c r="K413"/>
    </row>
    <row r="414" spans="6:11" x14ac:dyDescent="0.35">
      <c r="F414" s="4"/>
      <c r="G414" s="4"/>
      <c r="I414"/>
      <c r="K414"/>
    </row>
    <row r="415" spans="6:11" x14ac:dyDescent="0.35">
      <c r="F415" s="4"/>
      <c r="G415" s="4"/>
      <c r="I415"/>
      <c r="K415"/>
    </row>
    <row r="416" spans="6:11" x14ac:dyDescent="0.35">
      <c r="F416" s="4"/>
      <c r="G416" s="4"/>
      <c r="I416"/>
      <c r="K416"/>
    </row>
    <row r="417" spans="6:11" x14ac:dyDescent="0.35">
      <c r="F417" s="4"/>
      <c r="G417" s="4"/>
      <c r="I417"/>
      <c r="K417"/>
    </row>
    <row r="418" spans="6:11" x14ac:dyDescent="0.35">
      <c r="F418" s="4"/>
      <c r="G418" s="4"/>
      <c r="I418"/>
      <c r="K418"/>
    </row>
    <row r="419" spans="6:11" x14ac:dyDescent="0.35">
      <c r="F419" s="4"/>
      <c r="G419" s="4"/>
      <c r="I419"/>
      <c r="K419"/>
    </row>
    <row r="420" spans="6:11" x14ac:dyDescent="0.35">
      <c r="F420" s="4"/>
      <c r="G420" s="4"/>
      <c r="I420"/>
      <c r="K420"/>
    </row>
    <row r="421" spans="6:11" x14ac:dyDescent="0.35">
      <c r="F421" s="4"/>
      <c r="G421" s="4"/>
      <c r="I421"/>
      <c r="K421"/>
    </row>
    <row r="422" spans="6:11" x14ac:dyDescent="0.35">
      <c r="F422" s="4"/>
      <c r="G422" s="4"/>
      <c r="I422"/>
      <c r="K422"/>
    </row>
    <row r="423" spans="6:11" x14ac:dyDescent="0.35">
      <c r="F423" s="4"/>
      <c r="G423" s="4"/>
      <c r="I423"/>
      <c r="K423"/>
    </row>
    <row r="424" spans="6:11" x14ac:dyDescent="0.35">
      <c r="F424" s="4"/>
      <c r="G424" s="4"/>
      <c r="I424"/>
      <c r="K424"/>
    </row>
    <row r="425" spans="6:11" x14ac:dyDescent="0.35">
      <c r="F425" s="4"/>
      <c r="G425" s="4"/>
      <c r="I425"/>
      <c r="K425"/>
    </row>
    <row r="426" spans="6:11" x14ac:dyDescent="0.35">
      <c r="F426" s="4"/>
      <c r="G426" s="4"/>
      <c r="I426"/>
      <c r="K426"/>
    </row>
    <row r="427" spans="6:11" x14ac:dyDescent="0.35">
      <c r="F427" s="4"/>
      <c r="G427" s="4"/>
      <c r="I427"/>
      <c r="K427"/>
    </row>
    <row r="428" spans="6:11" x14ac:dyDescent="0.35">
      <c r="F428" s="4"/>
      <c r="G428" s="4"/>
      <c r="I428"/>
      <c r="K428"/>
    </row>
    <row r="429" spans="6:11" x14ac:dyDescent="0.35">
      <c r="F429" s="4"/>
      <c r="G429" s="4"/>
      <c r="I429"/>
      <c r="K429"/>
    </row>
    <row r="430" spans="6:11" x14ac:dyDescent="0.35">
      <c r="F430" s="4"/>
      <c r="G430" s="4"/>
      <c r="I430"/>
      <c r="K430"/>
    </row>
    <row r="431" spans="6:11" x14ac:dyDescent="0.35">
      <c r="F431" s="4"/>
      <c r="G431" s="4"/>
      <c r="I431"/>
      <c r="K431"/>
    </row>
    <row r="432" spans="6:11" x14ac:dyDescent="0.35">
      <c r="F432" s="4"/>
      <c r="G432" s="4"/>
      <c r="I432"/>
      <c r="K432"/>
    </row>
    <row r="433" spans="6:11" x14ac:dyDescent="0.35">
      <c r="F433" s="4"/>
      <c r="G433" s="4"/>
      <c r="I433"/>
      <c r="K433"/>
    </row>
    <row r="434" spans="6:11" x14ac:dyDescent="0.35">
      <c r="F434" s="4"/>
      <c r="G434" s="4"/>
      <c r="I434"/>
      <c r="K434"/>
    </row>
    <row r="435" spans="6:11" x14ac:dyDescent="0.35">
      <c r="F435" s="4"/>
      <c r="G435" s="4"/>
      <c r="I435"/>
      <c r="K435"/>
    </row>
    <row r="436" spans="6:11" x14ac:dyDescent="0.35">
      <c r="F436" s="4"/>
      <c r="G436" s="4"/>
      <c r="I436"/>
      <c r="K436"/>
    </row>
    <row r="437" spans="6:11" x14ac:dyDescent="0.35">
      <c r="F437" s="4"/>
      <c r="G437" s="4"/>
      <c r="I437"/>
      <c r="K437"/>
    </row>
    <row r="438" spans="6:11" x14ac:dyDescent="0.35">
      <c r="F438" s="4"/>
      <c r="G438" s="4"/>
      <c r="I438"/>
      <c r="K438"/>
    </row>
    <row r="439" spans="6:11" x14ac:dyDescent="0.35">
      <c r="F439" s="4"/>
      <c r="G439" s="4"/>
      <c r="I439"/>
      <c r="K439"/>
    </row>
    <row r="440" spans="6:11" x14ac:dyDescent="0.35">
      <c r="F440" s="4"/>
      <c r="G440" s="4"/>
      <c r="I440"/>
      <c r="K440"/>
    </row>
    <row r="441" spans="6:11" x14ac:dyDescent="0.35">
      <c r="F441" s="4"/>
      <c r="G441" s="4"/>
      <c r="I441"/>
      <c r="K441"/>
    </row>
    <row r="442" spans="6:11" x14ac:dyDescent="0.35">
      <c r="F442" s="4"/>
      <c r="G442" s="4"/>
      <c r="I442"/>
      <c r="K442"/>
    </row>
    <row r="443" spans="6:11" x14ac:dyDescent="0.35">
      <c r="F443" s="4"/>
      <c r="G443" s="4"/>
      <c r="I443"/>
      <c r="K443"/>
    </row>
    <row r="444" spans="6:11" x14ac:dyDescent="0.35">
      <c r="F444" s="4"/>
      <c r="G444" s="4"/>
      <c r="I444"/>
      <c r="K444"/>
    </row>
    <row r="445" spans="6:11" x14ac:dyDescent="0.35">
      <c r="F445" s="4"/>
      <c r="G445" s="4"/>
      <c r="I445"/>
      <c r="K445"/>
    </row>
    <row r="446" spans="6:11" x14ac:dyDescent="0.35">
      <c r="F446" s="4"/>
      <c r="G446" s="4"/>
      <c r="I446"/>
      <c r="K446"/>
    </row>
    <row r="447" spans="6:11" x14ac:dyDescent="0.35">
      <c r="F447" s="4"/>
      <c r="G447" s="4"/>
      <c r="I447"/>
      <c r="K447"/>
    </row>
    <row r="448" spans="6:11" x14ac:dyDescent="0.35">
      <c r="F448" s="4"/>
      <c r="G448" s="4"/>
      <c r="I448"/>
      <c r="K448"/>
    </row>
    <row r="449" spans="6:11" x14ac:dyDescent="0.35">
      <c r="F449" s="4"/>
      <c r="G449" s="4"/>
      <c r="I449"/>
      <c r="K449"/>
    </row>
    <row r="450" spans="6:11" x14ac:dyDescent="0.35">
      <c r="F450" s="4"/>
      <c r="G450" s="4"/>
      <c r="I450"/>
      <c r="K450"/>
    </row>
    <row r="451" spans="6:11" x14ac:dyDescent="0.35">
      <c r="F451" s="4"/>
      <c r="G451" s="4"/>
      <c r="I451"/>
      <c r="K451"/>
    </row>
    <row r="452" spans="6:11" x14ac:dyDescent="0.35">
      <c r="F452" s="4"/>
      <c r="G452" s="4"/>
      <c r="I452"/>
      <c r="K452"/>
    </row>
    <row r="453" spans="6:11" x14ac:dyDescent="0.35">
      <c r="F453" s="4"/>
      <c r="G453" s="4"/>
      <c r="I453"/>
      <c r="K453"/>
    </row>
    <row r="454" spans="6:11" x14ac:dyDescent="0.35">
      <c r="F454" s="4"/>
      <c r="G454" s="4"/>
      <c r="I454"/>
      <c r="K454"/>
    </row>
    <row r="455" spans="6:11" x14ac:dyDescent="0.35">
      <c r="F455" s="4"/>
      <c r="G455" s="4"/>
      <c r="I455"/>
      <c r="K455"/>
    </row>
    <row r="456" spans="6:11" x14ac:dyDescent="0.35">
      <c r="F456" s="4"/>
      <c r="G456" s="4"/>
      <c r="I456"/>
      <c r="K456"/>
    </row>
    <row r="457" spans="6:11" x14ac:dyDescent="0.35">
      <c r="F457" s="4"/>
      <c r="G457" s="4"/>
      <c r="I457"/>
      <c r="K457"/>
    </row>
    <row r="458" spans="6:11" x14ac:dyDescent="0.35">
      <c r="F458" s="4"/>
      <c r="G458" s="4"/>
      <c r="I458"/>
      <c r="K458"/>
    </row>
    <row r="459" spans="6:11" x14ac:dyDescent="0.35">
      <c r="F459" s="4"/>
      <c r="G459" s="4"/>
      <c r="I459"/>
      <c r="K459"/>
    </row>
    <row r="460" spans="6:11" x14ac:dyDescent="0.35">
      <c r="F460" s="4"/>
      <c r="G460" s="4"/>
      <c r="I460"/>
      <c r="K460"/>
    </row>
    <row r="461" spans="6:11" x14ac:dyDescent="0.35">
      <c r="F461" s="4"/>
      <c r="G461" s="4"/>
      <c r="I461"/>
      <c r="K461"/>
    </row>
    <row r="462" spans="6:11" x14ac:dyDescent="0.35">
      <c r="F462" s="4"/>
      <c r="G462" s="4"/>
      <c r="I462"/>
      <c r="K462"/>
    </row>
    <row r="463" spans="6:11" x14ac:dyDescent="0.35">
      <c r="F463" s="4"/>
      <c r="G463" s="4"/>
      <c r="I463"/>
      <c r="K463"/>
    </row>
    <row r="464" spans="6:11" x14ac:dyDescent="0.35">
      <c r="F464" s="4"/>
      <c r="G464" s="4"/>
      <c r="I464"/>
      <c r="K464"/>
    </row>
    <row r="465" spans="6:11" x14ac:dyDescent="0.35">
      <c r="F465" s="4"/>
      <c r="G465" s="4"/>
      <c r="I465"/>
      <c r="K465"/>
    </row>
    <row r="466" spans="6:11" x14ac:dyDescent="0.35">
      <c r="F466" s="4"/>
      <c r="G466" s="4"/>
      <c r="I466"/>
      <c r="K466"/>
    </row>
    <row r="467" spans="6:11" x14ac:dyDescent="0.35">
      <c r="F467" s="4"/>
      <c r="G467" s="4"/>
      <c r="I467"/>
      <c r="K467"/>
    </row>
    <row r="468" spans="6:11" x14ac:dyDescent="0.35">
      <c r="F468" s="4"/>
      <c r="G468" s="4"/>
      <c r="I468"/>
      <c r="K468"/>
    </row>
    <row r="469" spans="6:11" x14ac:dyDescent="0.35">
      <c r="F469" s="4"/>
      <c r="G469" s="4"/>
      <c r="I469"/>
      <c r="K469"/>
    </row>
    <row r="470" spans="6:11" x14ac:dyDescent="0.35">
      <c r="F470" s="4"/>
      <c r="G470" s="4"/>
      <c r="I470"/>
      <c r="K470"/>
    </row>
    <row r="471" spans="6:11" x14ac:dyDescent="0.35">
      <c r="F471" s="4"/>
      <c r="G471" s="4"/>
      <c r="I471"/>
      <c r="K471"/>
    </row>
    <row r="472" spans="6:11" x14ac:dyDescent="0.35">
      <c r="F472" s="4"/>
      <c r="G472" s="4"/>
      <c r="I472"/>
      <c r="K472"/>
    </row>
    <row r="473" spans="6:11" x14ac:dyDescent="0.35">
      <c r="F473" s="4"/>
      <c r="G473" s="4"/>
      <c r="I473"/>
      <c r="K473"/>
    </row>
    <row r="474" spans="6:11" x14ac:dyDescent="0.35">
      <c r="F474" s="4"/>
      <c r="G474" s="4"/>
      <c r="I474"/>
      <c r="K474"/>
    </row>
    <row r="475" spans="6:11" x14ac:dyDescent="0.35">
      <c r="F475" s="4"/>
      <c r="G475" s="4"/>
      <c r="I475"/>
      <c r="K475"/>
    </row>
    <row r="476" spans="6:11" x14ac:dyDescent="0.35">
      <c r="F476" s="4"/>
      <c r="G476" s="4"/>
      <c r="I476"/>
      <c r="K476"/>
    </row>
    <row r="477" spans="6:11" x14ac:dyDescent="0.35">
      <c r="F477" s="4"/>
      <c r="G477" s="4"/>
      <c r="I477"/>
      <c r="K477"/>
    </row>
    <row r="478" spans="6:11" x14ac:dyDescent="0.35">
      <c r="F478" s="4"/>
      <c r="G478" s="4"/>
      <c r="I478"/>
      <c r="K478"/>
    </row>
    <row r="479" spans="6:11" x14ac:dyDescent="0.35">
      <c r="F479" s="4"/>
      <c r="G479" s="4"/>
      <c r="I479"/>
      <c r="K479"/>
    </row>
    <row r="480" spans="6:11" x14ac:dyDescent="0.35">
      <c r="F480" s="4"/>
      <c r="G480" s="4"/>
      <c r="I480"/>
      <c r="K480"/>
    </row>
    <row r="481" spans="6:11" x14ac:dyDescent="0.35">
      <c r="F481" s="4"/>
      <c r="G481" s="4"/>
      <c r="I481"/>
      <c r="K481"/>
    </row>
    <row r="482" spans="6:11" x14ac:dyDescent="0.35">
      <c r="F482" s="4"/>
      <c r="G482" s="4"/>
      <c r="I482"/>
      <c r="K482"/>
    </row>
    <row r="483" spans="6:11" x14ac:dyDescent="0.35">
      <c r="F483" s="4"/>
      <c r="G483" s="4"/>
      <c r="I483"/>
      <c r="K483"/>
    </row>
    <row r="484" spans="6:11" x14ac:dyDescent="0.35">
      <c r="F484" s="4"/>
      <c r="G484" s="4"/>
      <c r="I484"/>
      <c r="K484"/>
    </row>
    <row r="485" spans="6:11" x14ac:dyDescent="0.35">
      <c r="F485" s="4"/>
      <c r="G485" s="4"/>
      <c r="I485"/>
      <c r="K485"/>
    </row>
    <row r="486" spans="6:11" x14ac:dyDescent="0.35">
      <c r="F486" s="4"/>
      <c r="G486" s="4"/>
      <c r="I486"/>
      <c r="K486"/>
    </row>
    <row r="487" spans="6:11" x14ac:dyDescent="0.35">
      <c r="F487" s="4"/>
      <c r="G487" s="4"/>
      <c r="I487"/>
      <c r="K487"/>
    </row>
    <row r="488" spans="6:11" x14ac:dyDescent="0.35">
      <c r="F488" s="4"/>
      <c r="G488" s="4"/>
      <c r="I488"/>
      <c r="K488"/>
    </row>
    <row r="489" spans="6:11" x14ac:dyDescent="0.35">
      <c r="F489" s="4"/>
      <c r="G489" s="4"/>
      <c r="I489"/>
      <c r="K489"/>
    </row>
    <row r="490" spans="6:11" x14ac:dyDescent="0.35">
      <c r="F490" s="4"/>
      <c r="G490" s="4"/>
      <c r="I490"/>
      <c r="K490"/>
    </row>
    <row r="491" spans="6:11" x14ac:dyDescent="0.35">
      <c r="F491" s="4"/>
      <c r="G491" s="4"/>
      <c r="I491"/>
      <c r="K491"/>
    </row>
    <row r="492" spans="6:11" x14ac:dyDescent="0.35">
      <c r="F492" s="4"/>
      <c r="G492" s="4"/>
      <c r="I492"/>
      <c r="K492"/>
    </row>
    <row r="493" spans="6:11" x14ac:dyDescent="0.35">
      <c r="F493" s="4"/>
      <c r="G493" s="4"/>
      <c r="I493"/>
      <c r="K493"/>
    </row>
    <row r="494" spans="6:11" x14ac:dyDescent="0.35">
      <c r="F494" s="4"/>
      <c r="G494" s="4"/>
      <c r="I494"/>
      <c r="K494"/>
    </row>
    <row r="495" spans="6:11" x14ac:dyDescent="0.35">
      <c r="F495" s="4"/>
      <c r="G495" s="4"/>
      <c r="I495"/>
      <c r="K495"/>
    </row>
    <row r="496" spans="6:11" x14ac:dyDescent="0.35">
      <c r="F496" s="4"/>
      <c r="G496" s="4"/>
      <c r="I496"/>
      <c r="K496"/>
    </row>
    <row r="497" spans="6:11" x14ac:dyDescent="0.35">
      <c r="F497" s="4"/>
      <c r="G497" s="4"/>
      <c r="I497"/>
      <c r="K497"/>
    </row>
    <row r="498" spans="6:11" x14ac:dyDescent="0.35">
      <c r="F498" s="4"/>
      <c r="G498" s="4"/>
      <c r="I498"/>
      <c r="K498"/>
    </row>
    <row r="499" spans="6:11" x14ac:dyDescent="0.35">
      <c r="F499" s="4"/>
      <c r="G499" s="4"/>
      <c r="I499"/>
      <c r="K499"/>
    </row>
    <row r="500" spans="6:11" x14ac:dyDescent="0.35">
      <c r="F500" s="4"/>
      <c r="G500" s="4"/>
      <c r="I500"/>
      <c r="K500"/>
    </row>
    <row r="501" spans="6:11" x14ac:dyDescent="0.35">
      <c r="F501" s="4"/>
      <c r="G501" s="4"/>
      <c r="I501"/>
      <c r="K501"/>
    </row>
    <row r="502" spans="6:11" x14ac:dyDescent="0.35">
      <c r="F502" s="4"/>
      <c r="G502" s="4"/>
      <c r="I502"/>
      <c r="K502"/>
    </row>
    <row r="503" spans="6:11" x14ac:dyDescent="0.35">
      <c r="F503" s="4"/>
      <c r="G503" s="4"/>
      <c r="I503"/>
      <c r="K503"/>
    </row>
    <row r="504" spans="6:11" x14ac:dyDescent="0.35">
      <c r="F504" s="4"/>
      <c r="G504" s="4"/>
      <c r="I504"/>
      <c r="K504"/>
    </row>
    <row r="505" spans="6:11" x14ac:dyDescent="0.35">
      <c r="F505" s="4"/>
      <c r="G505" s="4"/>
      <c r="I505"/>
      <c r="K505"/>
    </row>
    <row r="506" spans="6:11" x14ac:dyDescent="0.35">
      <c r="F506" s="4"/>
      <c r="G506" s="4"/>
      <c r="I506"/>
      <c r="K506"/>
    </row>
    <row r="507" spans="6:11" x14ac:dyDescent="0.35">
      <c r="F507" s="4"/>
      <c r="G507" s="4"/>
      <c r="I507"/>
      <c r="K507"/>
    </row>
    <row r="508" spans="6:11" x14ac:dyDescent="0.35">
      <c r="F508" s="4"/>
      <c r="G508" s="4"/>
      <c r="I508"/>
      <c r="K508"/>
    </row>
    <row r="509" spans="6:11" x14ac:dyDescent="0.35">
      <c r="F509" s="4"/>
      <c r="G509" s="4"/>
      <c r="I509"/>
      <c r="K509"/>
    </row>
    <row r="510" spans="6:11" x14ac:dyDescent="0.35">
      <c r="F510" s="4"/>
      <c r="G510" s="4"/>
      <c r="I510"/>
      <c r="K510"/>
    </row>
    <row r="511" spans="6:11" x14ac:dyDescent="0.35">
      <c r="F511" s="4"/>
      <c r="G511" s="4"/>
      <c r="I511"/>
      <c r="K511"/>
    </row>
    <row r="512" spans="6:11" x14ac:dyDescent="0.35">
      <c r="F512" s="4"/>
      <c r="G512" s="4"/>
      <c r="I512"/>
      <c r="K512"/>
    </row>
    <row r="513" spans="6:11" x14ac:dyDescent="0.35">
      <c r="F513" s="4"/>
      <c r="G513" s="4"/>
      <c r="I513"/>
      <c r="K513"/>
    </row>
    <row r="514" spans="6:11" x14ac:dyDescent="0.35">
      <c r="F514" s="4"/>
      <c r="G514" s="4"/>
      <c r="I514"/>
      <c r="K514"/>
    </row>
    <row r="515" spans="6:11" x14ac:dyDescent="0.35">
      <c r="F515" s="4"/>
      <c r="G515" s="4"/>
      <c r="I515"/>
      <c r="K515"/>
    </row>
    <row r="516" spans="6:11" x14ac:dyDescent="0.35">
      <c r="F516" s="4"/>
      <c r="G516" s="4"/>
      <c r="I516"/>
      <c r="K516"/>
    </row>
    <row r="517" spans="6:11" x14ac:dyDescent="0.35">
      <c r="F517" s="4"/>
      <c r="G517" s="4"/>
      <c r="I517"/>
      <c r="K517"/>
    </row>
    <row r="518" spans="6:11" x14ac:dyDescent="0.35">
      <c r="F518" s="4"/>
      <c r="G518" s="4"/>
      <c r="I518"/>
      <c r="K518"/>
    </row>
    <row r="519" spans="6:11" x14ac:dyDescent="0.35">
      <c r="F519" s="4"/>
      <c r="G519" s="4"/>
      <c r="I519"/>
      <c r="K519"/>
    </row>
    <row r="520" spans="6:11" x14ac:dyDescent="0.35">
      <c r="F520" s="4"/>
      <c r="G520" s="4"/>
      <c r="I520"/>
      <c r="K520"/>
    </row>
    <row r="521" spans="6:11" x14ac:dyDescent="0.35">
      <c r="F521" s="4"/>
      <c r="G521" s="4"/>
      <c r="I521"/>
      <c r="K521"/>
    </row>
    <row r="522" spans="6:11" x14ac:dyDescent="0.35">
      <c r="F522" s="4"/>
      <c r="G522" s="4"/>
      <c r="I522"/>
      <c r="K522"/>
    </row>
    <row r="523" spans="6:11" x14ac:dyDescent="0.35">
      <c r="F523" s="4"/>
      <c r="G523" s="4"/>
      <c r="I523"/>
      <c r="K523"/>
    </row>
    <row r="524" spans="6:11" x14ac:dyDescent="0.35">
      <c r="F524" s="4"/>
      <c r="G524" s="4"/>
      <c r="I524"/>
      <c r="K524"/>
    </row>
    <row r="525" spans="6:11" x14ac:dyDescent="0.35">
      <c r="F525" s="4"/>
      <c r="G525" s="4"/>
      <c r="I525"/>
      <c r="K525"/>
    </row>
    <row r="526" spans="6:11" x14ac:dyDescent="0.35">
      <c r="F526" s="4"/>
      <c r="G526" s="4"/>
      <c r="I526"/>
      <c r="K526"/>
    </row>
    <row r="527" spans="6:11" x14ac:dyDescent="0.35">
      <c r="F527" s="4"/>
      <c r="G527" s="4"/>
      <c r="I527"/>
      <c r="K527"/>
    </row>
    <row r="528" spans="6:11" x14ac:dyDescent="0.35">
      <c r="F528" s="4"/>
      <c r="G528" s="4"/>
      <c r="I528"/>
      <c r="K528"/>
    </row>
    <row r="529" spans="6:11" x14ac:dyDescent="0.35">
      <c r="F529" s="4"/>
      <c r="G529" s="4"/>
      <c r="I529"/>
      <c r="K529"/>
    </row>
    <row r="530" spans="6:11" x14ac:dyDescent="0.35">
      <c r="F530" s="4"/>
      <c r="G530" s="4"/>
      <c r="I530"/>
      <c r="K530"/>
    </row>
    <row r="531" spans="6:11" x14ac:dyDescent="0.35">
      <c r="F531" s="4"/>
      <c r="G531" s="4"/>
      <c r="I531"/>
      <c r="K531"/>
    </row>
    <row r="532" spans="6:11" x14ac:dyDescent="0.35">
      <c r="F532" s="4"/>
      <c r="G532" s="4"/>
      <c r="I532"/>
      <c r="K532"/>
    </row>
    <row r="533" spans="6:11" x14ac:dyDescent="0.35">
      <c r="F533" s="4"/>
      <c r="G533" s="4"/>
      <c r="I533"/>
      <c r="K533"/>
    </row>
    <row r="534" spans="6:11" x14ac:dyDescent="0.35">
      <c r="F534" s="4"/>
      <c r="G534" s="4"/>
      <c r="I534"/>
      <c r="K534"/>
    </row>
    <row r="535" spans="6:11" x14ac:dyDescent="0.35">
      <c r="F535" s="4"/>
      <c r="G535" s="4"/>
      <c r="I535"/>
      <c r="K535"/>
    </row>
    <row r="536" spans="6:11" x14ac:dyDescent="0.35">
      <c r="F536" s="4"/>
      <c r="G536" s="4"/>
      <c r="I536"/>
      <c r="K536"/>
    </row>
    <row r="537" spans="6:11" x14ac:dyDescent="0.35">
      <c r="F537" s="4"/>
      <c r="G537" s="4"/>
      <c r="I537"/>
      <c r="K537"/>
    </row>
    <row r="538" spans="6:11" x14ac:dyDescent="0.35">
      <c r="F538" s="4"/>
      <c r="G538" s="4"/>
      <c r="I538"/>
      <c r="K538"/>
    </row>
    <row r="539" spans="6:11" x14ac:dyDescent="0.35">
      <c r="F539" s="4"/>
      <c r="G539" s="4"/>
      <c r="I539"/>
      <c r="K539"/>
    </row>
    <row r="540" spans="6:11" x14ac:dyDescent="0.35">
      <c r="F540" s="4"/>
      <c r="G540" s="4"/>
      <c r="I540"/>
      <c r="K540"/>
    </row>
    <row r="541" spans="6:11" x14ac:dyDescent="0.35">
      <c r="F541" s="4"/>
      <c r="G541" s="4"/>
      <c r="I541"/>
      <c r="K541"/>
    </row>
    <row r="542" spans="6:11" x14ac:dyDescent="0.35">
      <c r="F542" s="4"/>
      <c r="G542" s="4"/>
      <c r="I542"/>
      <c r="K542"/>
    </row>
    <row r="543" spans="6:11" x14ac:dyDescent="0.35">
      <c r="F543" s="4"/>
      <c r="G543" s="4"/>
      <c r="I543"/>
      <c r="K543"/>
    </row>
    <row r="544" spans="6:11" x14ac:dyDescent="0.35">
      <c r="F544" s="4"/>
      <c r="G544" s="4"/>
      <c r="I544"/>
      <c r="K544"/>
    </row>
    <row r="545" spans="6:11" x14ac:dyDescent="0.35">
      <c r="F545" s="4"/>
      <c r="G545" s="4"/>
      <c r="I545"/>
      <c r="K545"/>
    </row>
    <row r="546" spans="6:11" x14ac:dyDescent="0.35">
      <c r="F546" s="4"/>
      <c r="G546" s="4"/>
      <c r="I546"/>
      <c r="K546"/>
    </row>
    <row r="547" spans="6:11" x14ac:dyDescent="0.35">
      <c r="F547" s="4"/>
      <c r="G547" s="4"/>
      <c r="I547"/>
      <c r="K547"/>
    </row>
    <row r="548" spans="6:11" x14ac:dyDescent="0.35">
      <c r="F548" s="4"/>
      <c r="G548" s="4"/>
      <c r="I548"/>
      <c r="K548"/>
    </row>
    <row r="549" spans="6:11" x14ac:dyDescent="0.35">
      <c r="F549" s="4"/>
      <c r="G549" s="4"/>
      <c r="I549"/>
      <c r="K549"/>
    </row>
    <row r="550" spans="6:11" x14ac:dyDescent="0.35">
      <c r="F550" s="4"/>
      <c r="G550" s="4"/>
      <c r="I550"/>
      <c r="K550"/>
    </row>
    <row r="551" spans="6:11" x14ac:dyDescent="0.35">
      <c r="F551" s="4"/>
      <c r="G551" s="4"/>
      <c r="I551"/>
      <c r="K551"/>
    </row>
    <row r="552" spans="6:11" x14ac:dyDescent="0.35">
      <c r="F552" s="4"/>
      <c r="G552" s="4"/>
      <c r="I552"/>
      <c r="K552"/>
    </row>
    <row r="553" spans="6:11" x14ac:dyDescent="0.35">
      <c r="F553" s="4"/>
      <c r="G553" s="4"/>
      <c r="I553"/>
      <c r="K553"/>
    </row>
    <row r="554" spans="6:11" x14ac:dyDescent="0.35">
      <c r="F554" s="4"/>
      <c r="G554" s="4"/>
      <c r="I554"/>
      <c r="K554"/>
    </row>
    <row r="555" spans="6:11" x14ac:dyDescent="0.35">
      <c r="F555" s="4"/>
      <c r="G555" s="4"/>
      <c r="I555"/>
      <c r="K555"/>
    </row>
    <row r="556" spans="6:11" x14ac:dyDescent="0.35">
      <c r="F556" s="4"/>
      <c r="G556" s="4"/>
      <c r="I556"/>
      <c r="K556"/>
    </row>
    <row r="557" spans="6:11" x14ac:dyDescent="0.35">
      <c r="F557" s="4"/>
      <c r="G557" s="4"/>
      <c r="I557"/>
      <c r="K557"/>
    </row>
    <row r="558" spans="6:11" x14ac:dyDescent="0.35">
      <c r="F558" s="4"/>
      <c r="G558" s="4"/>
      <c r="I558"/>
      <c r="K558"/>
    </row>
    <row r="559" spans="6:11" x14ac:dyDescent="0.35">
      <c r="F559" s="4"/>
      <c r="G559" s="4"/>
      <c r="I559"/>
      <c r="K559"/>
    </row>
    <row r="560" spans="6:11" x14ac:dyDescent="0.35">
      <c r="F560" s="4"/>
      <c r="G560" s="4"/>
      <c r="I560"/>
      <c r="K560"/>
    </row>
    <row r="561" spans="6:11" x14ac:dyDescent="0.35">
      <c r="F561" s="4"/>
      <c r="G561" s="4"/>
      <c r="I561"/>
      <c r="K561"/>
    </row>
    <row r="562" spans="6:11" x14ac:dyDescent="0.35">
      <c r="F562" s="4"/>
      <c r="G562" s="4"/>
      <c r="I562"/>
      <c r="K562"/>
    </row>
    <row r="563" spans="6:11" x14ac:dyDescent="0.35">
      <c r="F563" s="4"/>
      <c r="G563" s="4"/>
      <c r="I563"/>
      <c r="K563"/>
    </row>
    <row r="564" spans="6:11" x14ac:dyDescent="0.35">
      <c r="F564" s="4"/>
      <c r="G564" s="4"/>
      <c r="I564"/>
      <c r="K564"/>
    </row>
    <row r="565" spans="6:11" x14ac:dyDescent="0.35">
      <c r="F565" s="4"/>
      <c r="G565" s="4"/>
      <c r="I565"/>
      <c r="K565"/>
    </row>
    <row r="566" spans="6:11" x14ac:dyDescent="0.35">
      <c r="F566" s="4"/>
      <c r="G566" s="4"/>
      <c r="I566"/>
      <c r="K566"/>
    </row>
    <row r="567" spans="6:11" x14ac:dyDescent="0.35">
      <c r="F567" s="4"/>
      <c r="G567" s="4"/>
      <c r="I567"/>
      <c r="K567"/>
    </row>
    <row r="568" spans="6:11" x14ac:dyDescent="0.35">
      <c r="F568" s="4"/>
      <c r="G568" s="4"/>
      <c r="I568"/>
      <c r="K568"/>
    </row>
    <row r="569" spans="6:11" x14ac:dyDescent="0.35">
      <c r="F569" s="4"/>
      <c r="G569" s="4"/>
      <c r="I569"/>
      <c r="K569"/>
    </row>
    <row r="570" spans="6:11" x14ac:dyDescent="0.35">
      <c r="F570" s="4"/>
      <c r="G570" s="4"/>
      <c r="I570"/>
      <c r="K570"/>
    </row>
    <row r="571" spans="6:11" x14ac:dyDescent="0.35">
      <c r="F571" s="4"/>
      <c r="G571" s="4"/>
      <c r="I571"/>
      <c r="K571"/>
    </row>
    <row r="572" spans="6:11" x14ac:dyDescent="0.35">
      <c r="F572" s="4"/>
      <c r="G572" s="4"/>
      <c r="I572"/>
      <c r="K572"/>
    </row>
    <row r="573" spans="6:11" x14ac:dyDescent="0.35">
      <c r="F573" s="4"/>
      <c r="G573" s="4"/>
      <c r="I573"/>
      <c r="K573"/>
    </row>
    <row r="574" spans="6:11" x14ac:dyDescent="0.35">
      <c r="F574" s="4"/>
      <c r="G574" s="4"/>
      <c r="I574"/>
      <c r="K574"/>
    </row>
    <row r="575" spans="6:11" x14ac:dyDescent="0.35">
      <c r="F575" s="4"/>
      <c r="G575" s="4"/>
      <c r="I575"/>
      <c r="K575"/>
    </row>
    <row r="576" spans="6:11" x14ac:dyDescent="0.35">
      <c r="F576" s="4"/>
      <c r="G576" s="4"/>
      <c r="I576"/>
      <c r="K576"/>
    </row>
    <row r="577" spans="6:11" x14ac:dyDescent="0.35">
      <c r="F577" s="4"/>
      <c r="G577" s="4"/>
      <c r="I577"/>
      <c r="K577"/>
    </row>
    <row r="578" spans="6:11" x14ac:dyDescent="0.35">
      <c r="F578" s="4"/>
      <c r="G578" s="4"/>
      <c r="I578"/>
      <c r="K578"/>
    </row>
    <row r="579" spans="6:11" x14ac:dyDescent="0.35">
      <c r="F579" s="4"/>
      <c r="G579" s="4"/>
      <c r="I579"/>
      <c r="K579"/>
    </row>
    <row r="580" spans="6:11" x14ac:dyDescent="0.35">
      <c r="F580" s="4"/>
      <c r="G580" s="4"/>
      <c r="I580"/>
      <c r="K580"/>
    </row>
    <row r="581" spans="6:11" x14ac:dyDescent="0.35">
      <c r="F581" s="4"/>
      <c r="G581" s="4"/>
      <c r="I581"/>
      <c r="K581"/>
    </row>
    <row r="582" spans="6:11" x14ac:dyDescent="0.35">
      <c r="F582" s="4"/>
      <c r="G582" s="4"/>
      <c r="I582"/>
      <c r="K582"/>
    </row>
    <row r="583" spans="6:11" x14ac:dyDescent="0.35">
      <c r="F583" s="4"/>
      <c r="G583" s="4"/>
      <c r="I583"/>
      <c r="K583"/>
    </row>
    <row r="584" spans="6:11" x14ac:dyDescent="0.35">
      <c r="F584" s="4"/>
      <c r="G584" s="4"/>
      <c r="I584"/>
      <c r="K584"/>
    </row>
    <row r="585" spans="6:11" x14ac:dyDescent="0.35">
      <c r="F585" s="4"/>
      <c r="G585" s="4"/>
      <c r="I585"/>
      <c r="K585"/>
    </row>
    <row r="586" spans="6:11" x14ac:dyDescent="0.35">
      <c r="F586" s="4"/>
      <c r="G586" s="4"/>
      <c r="I586"/>
      <c r="K586"/>
    </row>
    <row r="587" spans="6:11" x14ac:dyDescent="0.35">
      <c r="F587" s="4"/>
      <c r="G587" s="4"/>
      <c r="I587"/>
      <c r="K587"/>
    </row>
    <row r="588" spans="6:11" x14ac:dyDescent="0.35">
      <c r="F588" s="4"/>
      <c r="G588" s="4"/>
      <c r="I588"/>
      <c r="K588"/>
    </row>
    <row r="589" spans="6:11" x14ac:dyDescent="0.35">
      <c r="F589" s="4"/>
      <c r="G589" s="4"/>
      <c r="I589"/>
      <c r="K589"/>
    </row>
    <row r="590" spans="6:11" x14ac:dyDescent="0.35">
      <c r="F590" s="4"/>
      <c r="G590" s="4"/>
      <c r="I590"/>
      <c r="K590"/>
    </row>
    <row r="591" spans="6:11" x14ac:dyDescent="0.35">
      <c r="F591" s="4"/>
      <c r="G591" s="4"/>
      <c r="I591"/>
      <c r="K591"/>
    </row>
    <row r="592" spans="6:11" x14ac:dyDescent="0.35">
      <c r="F592" s="4"/>
      <c r="G592" s="4"/>
      <c r="I592"/>
      <c r="K592"/>
    </row>
    <row r="593" spans="6:11" x14ac:dyDescent="0.35">
      <c r="F593" s="4"/>
      <c r="G593" s="4"/>
      <c r="I593"/>
      <c r="K593"/>
    </row>
    <row r="594" spans="6:11" x14ac:dyDescent="0.35">
      <c r="F594" s="4"/>
      <c r="G594" s="4"/>
      <c r="I594"/>
      <c r="K594"/>
    </row>
    <row r="595" spans="6:11" x14ac:dyDescent="0.35">
      <c r="F595" s="4"/>
      <c r="G595" s="4"/>
      <c r="I595"/>
      <c r="K595"/>
    </row>
    <row r="596" spans="6:11" x14ac:dyDescent="0.35">
      <c r="F596" s="4"/>
      <c r="G596" s="4"/>
      <c r="I596"/>
      <c r="K596"/>
    </row>
    <row r="597" spans="6:11" x14ac:dyDescent="0.35">
      <c r="F597" s="4"/>
      <c r="G597" s="4"/>
      <c r="I597"/>
      <c r="K597"/>
    </row>
    <row r="598" spans="6:11" x14ac:dyDescent="0.35">
      <c r="F598" s="4"/>
      <c r="G598" s="4"/>
      <c r="I598"/>
      <c r="K598"/>
    </row>
    <row r="599" spans="6:11" x14ac:dyDescent="0.35">
      <c r="F599" s="4"/>
      <c r="G599" s="4"/>
      <c r="I599"/>
      <c r="K599"/>
    </row>
    <row r="600" spans="6:11" x14ac:dyDescent="0.35">
      <c r="F600" s="4"/>
      <c r="G600" s="4"/>
      <c r="I600"/>
      <c r="K600"/>
    </row>
    <row r="601" spans="6:11" x14ac:dyDescent="0.35">
      <c r="F601" s="4"/>
      <c r="G601" s="4"/>
      <c r="I601"/>
      <c r="K601"/>
    </row>
    <row r="602" spans="6:11" x14ac:dyDescent="0.35">
      <c r="F602" s="4"/>
      <c r="G602" s="4"/>
      <c r="I602"/>
      <c r="K602"/>
    </row>
    <row r="603" spans="6:11" x14ac:dyDescent="0.35">
      <c r="F603" s="4"/>
      <c r="G603" s="4"/>
      <c r="I603"/>
      <c r="K603"/>
    </row>
    <row r="604" spans="6:11" x14ac:dyDescent="0.35">
      <c r="F604" s="4"/>
      <c r="G604" s="4"/>
      <c r="I604"/>
      <c r="K604"/>
    </row>
    <row r="605" spans="6:11" x14ac:dyDescent="0.35">
      <c r="F605" s="4"/>
      <c r="G605" s="4"/>
      <c r="I605"/>
      <c r="K605"/>
    </row>
    <row r="606" spans="6:11" x14ac:dyDescent="0.35">
      <c r="F606" s="4"/>
      <c r="G606" s="4"/>
      <c r="I606"/>
      <c r="K606"/>
    </row>
    <row r="607" spans="6:11" x14ac:dyDescent="0.35">
      <c r="F607" s="4"/>
      <c r="G607" s="4"/>
      <c r="I607"/>
      <c r="K607"/>
    </row>
    <row r="608" spans="6:11" x14ac:dyDescent="0.35">
      <c r="F608" s="4"/>
      <c r="G608" s="4"/>
      <c r="I608"/>
      <c r="K608"/>
    </row>
    <row r="609" spans="6:11" x14ac:dyDescent="0.35">
      <c r="F609" s="4"/>
      <c r="G609" s="4"/>
      <c r="I609"/>
      <c r="K609"/>
    </row>
    <row r="610" spans="6:11" x14ac:dyDescent="0.35">
      <c r="F610" s="4"/>
      <c r="G610" s="4"/>
      <c r="I610"/>
      <c r="K610"/>
    </row>
    <row r="611" spans="6:11" x14ac:dyDescent="0.35">
      <c r="F611" s="4"/>
      <c r="G611" s="4"/>
      <c r="I611"/>
      <c r="K611"/>
    </row>
    <row r="612" spans="6:11" x14ac:dyDescent="0.35">
      <c r="F612" s="4"/>
      <c r="G612" s="4"/>
      <c r="I612"/>
      <c r="K612"/>
    </row>
    <row r="613" spans="6:11" x14ac:dyDescent="0.35">
      <c r="F613" s="4"/>
      <c r="G613" s="4"/>
      <c r="I613"/>
      <c r="K613"/>
    </row>
    <row r="614" spans="6:11" x14ac:dyDescent="0.35">
      <c r="F614" s="4"/>
      <c r="G614" s="4"/>
      <c r="I614"/>
      <c r="K614"/>
    </row>
    <row r="615" spans="6:11" x14ac:dyDescent="0.35">
      <c r="F615" s="4"/>
      <c r="G615" s="4"/>
      <c r="I615"/>
      <c r="K615"/>
    </row>
    <row r="616" spans="6:11" x14ac:dyDescent="0.35">
      <c r="F616" s="4"/>
      <c r="G616" s="4"/>
      <c r="I616"/>
      <c r="K616"/>
    </row>
    <row r="617" spans="6:11" x14ac:dyDescent="0.35">
      <c r="F617" s="4"/>
      <c r="G617" s="4"/>
      <c r="I617"/>
      <c r="K617"/>
    </row>
    <row r="618" spans="6:11" x14ac:dyDescent="0.35">
      <c r="F618" s="4"/>
      <c r="G618" s="4"/>
      <c r="I618"/>
      <c r="K618"/>
    </row>
    <row r="619" spans="6:11" x14ac:dyDescent="0.35">
      <c r="F619" s="4"/>
      <c r="G619" s="4"/>
      <c r="I619"/>
      <c r="K619"/>
    </row>
    <row r="620" spans="6:11" x14ac:dyDescent="0.35">
      <c r="F620" s="4"/>
      <c r="G620" s="4"/>
      <c r="I620"/>
      <c r="K620"/>
    </row>
    <row r="621" spans="6:11" x14ac:dyDescent="0.35">
      <c r="F621" s="4"/>
      <c r="G621" s="4"/>
      <c r="I621"/>
      <c r="K621"/>
    </row>
    <row r="622" spans="6:11" x14ac:dyDescent="0.35">
      <c r="F622" s="4"/>
      <c r="G622" s="4"/>
      <c r="I622"/>
      <c r="K622"/>
    </row>
    <row r="623" spans="6:11" x14ac:dyDescent="0.35">
      <c r="F623" s="4"/>
      <c r="G623" s="4"/>
      <c r="I623"/>
      <c r="K623"/>
    </row>
    <row r="624" spans="6:11" x14ac:dyDescent="0.35">
      <c r="F624" s="4"/>
      <c r="G624" s="4"/>
      <c r="I624"/>
      <c r="K624"/>
    </row>
    <row r="625" spans="6:11" x14ac:dyDescent="0.35">
      <c r="F625" s="4"/>
      <c r="G625" s="4"/>
      <c r="I625"/>
      <c r="K625"/>
    </row>
    <row r="626" spans="6:11" x14ac:dyDescent="0.35">
      <c r="F626" s="4"/>
      <c r="G626" s="4"/>
      <c r="I626"/>
      <c r="K626"/>
    </row>
    <row r="627" spans="6:11" x14ac:dyDescent="0.35">
      <c r="F627" s="4"/>
      <c r="G627" s="4"/>
      <c r="I627"/>
      <c r="K627"/>
    </row>
    <row r="628" spans="6:11" x14ac:dyDescent="0.35">
      <c r="F628" s="4"/>
      <c r="G628" s="4"/>
      <c r="I628"/>
      <c r="K628"/>
    </row>
    <row r="629" spans="6:11" x14ac:dyDescent="0.35">
      <c r="F629" s="4"/>
      <c r="G629" s="4"/>
      <c r="I629"/>
      <c r="K629"/>
    </row>
    <row r="630" spans="6:11" x14ac:dyDescent="0.35">
      <c r="F630" s="4"/>
      <c r="G630" s="4"/>
      <c r="I630"/>
      <c r="K630"/>
    </row>
    <row r="631" spans="6:11" x14ac:dyDescent="0.35">
      <c r="F631" s="4"/>
      <c r="G631" s="4"/>
      <c r="I631"/>
      <c r="K631"/>
    </row>
    <row r="632" spans="6:11" x14ac:dyDescent="0.35">
      <c r="F632" s="4"/>
      <c r="G632" s="4"/>
      <c r="I632"/>
      <c r="K632"/>
    </row>
    <row r="633" spans="6:11" x14ac:dyDescent="0.35">
      <c r="F633" s="4"/>
      <c r="G633" s="4"/>
      <c r="I633"/>
      <c r="K633"/>
    </row>
    <row r="634" spans="6:11" x14ac:dyDescent="0.35">
      <c r="F634" s="4"/>
      <c r="G634" s="4"/>
      <c r="I634"/>
      <c r="K634"/>
    </row>
    <row r="635" spans="6:11" x14ac:dyDescent="0.35">
      <c r="F635" s="4"/>
      <c r="G635" s="4"/>
      <c r="I635"/>
      <c r="K635"/>
    </row>
    <row r="636" spans="6:11" x14ac:dyDescent="0.35">
      <c r="F636" s="4"/>
      <c r="G636" s="4"/>
      <c r="I636"/>
      <c r="K636"/>
    </row>
    <row r="637" spans="6:11" x14ac:dyDescent="0.35">
      <c r="F637" s="4"/>
      <c r="G637" s="4"/>
      <c r="I637"/>
      <c r="K637"/>
    </row>
    <row r="638" spans="6:11" x14ac:dyDescent="0.35">
      <c r="F638" s="4"/>
      <c r="G638" s="4"/>
      <c r="I638"/>
      <c r="K638"/>
    </row>
    <row r="639" spans="6:11" x14ac:dyDescent="0.35">
      <c r="F639" s="4"/>
      <c r="G639" s="4"/>
      <c r="I639"/>
      <c r="K639"/>
    </row>
    <row r="640" spans="6:11" x14ac:dyDescent="0.35">
      <c r="F640" s="4"/>
      <c r="G640" s="4"/>
      <c r="I640"/>
      <c r="K640"/>
    </row>
    <row r="641" spans="6:11" x14ac:dyDescent="0.35">
      <c r="F641" s="4"/>
      <c r="G641" s="4"/>
      <c r="I641"/>
      <c r="K641"/>
    </row>
    <row r="642" spans="6:11" x14ac:dyDescent="0.35">
      <c r="F642" s="4"/>
      <c r="G642" s="4"/>
      <c r="I642"/>
      <c r="K642"/>
    </row>
    <row r="643" spans="6:11" x14ac:dyDescent="0.35">
      <c r="F643" s="4"/>
      <c r="G643" s="4"/>
      <c r="I643"/>
      <c r="K643"/>
    </row>
    <row r="644" spans="6:11" x14ac:dyDescent="0.35">
      <c r="F644" s="4"/>
      <c r="G644" s="4"/>
      <c r="I644"/>
      <c r="K644"/>
    </row>
    <row r="645" spans="6:11" x14ac:dyDescent="0.35">
      <c r="F645" s="4"/>
      <c r="G645" s="4"/>
      <c r="I645"/>
      <c r="K645"/>
    </row>
    <row r="646" spans="6:11" x14ac:dyDescent="0.35">
      <c r="F646" s="4"/>
      <c r="G646" s="4"/>
      <c r="I646"/>
      <c r="K646"/>
    </row>
    <row r="647" spans="6:11" x14ac:dyDescent="0.35">
      <c r="F647" s="4"/>
      <c r="G647" s="4"/>
      <c r="I647"/>
      <c r="K647"/>
    </row>
    <row r="648" spans="6:11" x14ac:dyDescent="0.35">
      <c r="F648" s="4"/>
      <c r="G648" s="4"/>
      <c r="I648"/>
      <c r="K648"/>
    </row>
    <row r="649" spans="6:11" x14ac:dyDescent="0.35">
      <c r="F649" s="4"/>
      <c r="G649" s="4"/>
      <c r="I649"/>
      <c r="K649"/>
    </row>
    <row r="650" spans="6:11" x14ac:dyDescent="0.35">
      <c r="F650" s="4"/>
      <c r="G650" s="4"/>
      <c r="I650"/>
      <c r="K650"/>
    </row>
    <row r="651" spans="6:11" x14ac:dyDescent="0.35">
      <c r="F651" s="4"/>
      <c r="G651" s="4"/>
      <c r="I651"/>
      <c r="K651"/>
    </row>
    <row r="652" spans="6:11" x14ac:dyDescent="0.35">
      <c r="F652" s="4"/>
      <c r="G652" s="4"/>
      <c r="I652"/>
      <c r="K652"/>
    </row>
    <row r="653" spans="6:11" x14ac:dyDescent="0.35">
      <c r="F653" s="4"/>
      <c r="G653" s="4"/>
      <c r="I653"/>
      <c r="K653"/>
    </row>
    <row r="654" spans="6:11" x14ac:dyDescent="0.35">
      <c r="F654" s="4"/>
      <c r="G654" s="4"/>
      <c r="I654"/>
      <c r="K654"/>
    </row>
    <row r="655" spans="6:11" x14ac:dyDescent="0.35">
      <c r="F655" s="4"/>
      <c r="G655" s="4"/>
      <c r="I655"/>
      <c r="K655"/>
    </row>
    <row r="656" spans="6:11" x14ac:dyDescent="0.35">
      <c r="F656" s="4"/>
      <c r="G656" s="4"/>
      <c r="I656"/>
      <c r="K656"/>
    </row>
    <row r="657" spans="6:11" x14ac:dyDescent="0.35">
      <c r="F657" s="4"/>
      <c r="G657" s="4"/>
      <c r="I657"/>
      <c r="K657"/>
    </row>
    <row r="658" spans="6:11" x14ac:dyDescent="0.35">
      <c r="F658" s="4"/>
      <c r="G658" s="4"/>
      <c r="I658"/>
      <c r="K658"/>
    </row>
    <row r="659" spans="6:11" x14ac:dyDescent="0.35">
      <c r="F659" s="4"/>
      <c r="G659" s="4"/>
      <c r="I659"/>
      <c r="K659"/>
    </row>
    <row r="660" spans="6:11" x14ac:dyDescent="0.35">
      <c r="F660" s="4"/>
      <c r="G660" s="4"/>
      <c r="I660"/>
      <c r="K660"/>
    </row>
    <row r="661" spans="6:11" x14ac:dyDescent="0.35">
      <c r="F661" s="4"/>
      <c r="G661" s="4"/>
      <c r="I661"/>
      <c r="K661"/>
    </row>
    <row r="662" spans="6:11" x14ac:dyDescent="0.35">
      <c r="F662" s="4"/>
      <c r="G662" s="4"/>
      <c r="I662"/>
      <c r="K662"/>
    </row>
    <row r="663" spans="6:11" x14ac:dyDescent="0.35">
      <c r="F663" s="4"/>
      <c r="G663" s="4"/>
      <c r="I663"/>
      <c r="K663"/>
    </row>
    <row r="664" spans="6:11" x14ac:dyDescent="0.35">
      <c r="F664" s="4"/>
      <c r="G664" s="4"/>
      <c r="I664"/>
      <c r="K664"/>
    </row>
    <row r="665" spans="6:11" x14ac:dyDescent="0.35">
      <c r="F665" s="4"/>
      <c r="G665" s="4"/>
      <c r="I665"/>
      <c r="K665"/>
    </row>
    <row r="666" spans="6:11" x14ac:dyDescent="0.35">
      <c r="F666" s="4"/>
      <c r="G666" s="4"/>
      <c r="I666"/>
      <c r="K666"/>
    </row>
    <row r="667" spans="6:11" x14ac:dyDescent="0.35">
      <c r="F667" s="4"/>
      <c r="G667" s="4"/>
      <c r="I667"/>
      <c r="K667"/>
    </row>
    <row r="668" spans="6:11" x14ac:dyDescent="0.35">
      <c r="F668" s="4"/>
      <c r="G668" s="4"/>
      <c r="I668"/>
      <c r="K668"/>
    </row>
    <row r="669" spans="6:11" x14ac:dyDescent="0.35">
      <c r="F669" s="4"/>
      <c r="G669" s="4"/>
      <c r="I669"/>
      <c r="K669"/>
    </row>
    <row r="670" spans="6:11" x14ac:dyDescent="0.35">
      <c r="F670" s="4"/>
      <c r="G670" s="4"/>
      <c r="I670"/>
      <c r="K670"/>
    </row>
    <row r="671" spans="6:11" x14ac:dyDescent="0.35">
      <c r="F671" s="4"/>
      <c r="G671" s="4"/>
      <c r="I671"/>
      <c r="K671"/>
    </row>
    <row r="672" spans="6:11" x14ac:dyDescent="0.35">
      <c r="F672" s="4"/>
      <c r="G672" s="4"/>
      <c r="I672"/>
      <c r="K672"/>
    </row>
    <row r="673" spans="6:11" x14ac:dyDescent="0.35">
      <c r="F673" s="4"/>
      <c r="G673" s="4"/>
      <c r="I673"/>
      <c r="K673"/>
    </row>
    <row r="674" spans="6:11" x14ac:dyDescent="0.35">
      <c r="F674" s="4"/>
      <c r="G674" s="4"/>
      <c r="I674"/>
      <c r="K674"/>
    </row>
    <row r="675" spans="6:11" x14ac:dyDescent="0.35">
      <c r="F675" s="4"/>
      <c r="G675" s="4"/>
      <c r="I675"/>
      <c r="K675"/>
    </row>
    <row r="676" spans="6:11" x14ac:dyDescent="0.35">
      <c r="F676" s="4"/>
      <c r="G676" s="4"/>
      <c r="I676"/>
      <c r="K676"/>
    </row>
    <row r="677" spans="6:11" x14ac:dyDescent="0.35">
      <c r="F677" s="4"/>
      <c r="G677" s="4"/>
      <c r="I677"/>
      <c r="K677"/>
    </row>
    <row r="678" spans="6:11" x14ac:dyDescent="0.35">
      <c r="F678" s="4"/>
      <c r="G678" s="4"/>
      <c r="I678"/>
      <c r="K678"/>
    </row>
    <row r="679" spans="6:11" x14ac:dyDescent="0.35">
      <c r="F679" s="4"/>
      <c r="G679" s="4"/>
      <c r="I679"/>
      <c r="K679"/>
    </row>
    <row r="680" spans="6:11" x14ac:dyDescent="0.35">
      <c r="F680" s="4"/>
      <c r="G680" s="4"/>
      <c r="I680"/>
      <c r="K680"/>
    </row>
    <row r="681" spans="6:11" x14ac:dyDescent="0.35">
      <c r="F681" s="4"/>
      <c r="G681" s="4"/>
      <c r="I681"/>
      <c r="K681"/>
    </row>
    <row r="682" spans="6:11" x14ac:dyDescent="0.35">
      <c r="F682" s="4"/>
      <c r="G682" s="4"/>
      <c r="I682"/>
      <c r="K682"/>
    </row>
    <row r="683" spans="6:11" x14ac:dyDescent="0.35">
      <c r="F683" s="4"/>
      <c r="G683" s="4"/>
      <c r="I683"/>
      <c r="K683"/>
    </row>
    <row r="684" spans="6:11" x14ac:dyDescent="0.35">
      <c r="F684" s="4"/>
      <c r="G684" s="4"/>
      <c r="I684"/>
      <c r="K684"/>
    </row>
    <row r="685" spans="6:11" x14ac:dyDescent="0.35">
      <c r="F685" s="4"/>
      <c r="G685" s="4"/>
      <c r="I685"/>
      <c r="K685"/>
    </row>
    <row r="686" spans="6:11" x14ac:dyDescent="0.35">
      <c r="F686" s="4"/>
      <c r="G686" s="4"/>
      <c r="I686"/>
      <c r="K686"/>
    </row>
    <row r="687" spans="6:11" x14ac:dyDescent="0.35">
      <c r="F687" s="4"/>
      <c r="G687" s="4"/>
      <c r="I687"/>
      <c r="K687"/>
    </row>
    <row r="688" spans="6:11" x14ac:dyDescent="0.35">
      <c r="F688" s="4"/>
      <c r="G688" s="4"/>
      <c r="I688"/>
      <c r="K688"/>
    </row>
    <row r="689" spans="6:11" x14ac:dyDescent="0.35">
      <c r="F689" s="4"/>
      <c r="G689" s="4"/>
      <c r="I689"/>
      <c r="K689"/>
    </row>
    <row r="690" spans="6:11" x14ac:dyDescent="0.35">
      <c r="F690" s="4"/>
      <c r="G690" s="4"/>
      <c r="I690"/>
      <c r="K690"/>
    </row>
    <row r="691" spans="6:11" x14ac:dyDescent="0.35">
      <c r="F691" s="4"/>
      <c r="G691" s="4"/>
      <c r="I691"/>
      <c r="K691"/>
    </row>
    <row r="692" spans="6:11" x14ac:dyDescent="0.35">
      <c r="F692" s="4"/>
      <c r="G692" s="4"/>
      <c r="I692"/>
      <c r="K692"/>
    </row>
    <row r="693" spans="6:11" x14ac:dyDescent="0.35">
      <c r="F693" s="4"/>
      <c r="G693" s="4"/>
      <c r="I693"/>
      <c r="K693"/>
    </row>
  </sheetData>
  <mergeCells count="1">
    <mergeCell ref="H1:H2"/>
  </mergeCells>
  <phoneticPr fontId="26" type="noConversion"/>
  <hyperlinks>
    <hyperlink ref="L5" r:id="rId1"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E3578960-EFF8-4C05-85F6-05D48BFCC686}"/>
    <hyperlink ref="L6" r:id="rId2"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xr:uid="{08143A7D-101D-4C5F-AF06-2709C6E45507}"/>
    <hyperlink ref="L7" r:id="rId3"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xr:uid="{4E483E4D-35FF-4751-8392-8B112B2B6B73}"/>
    <hyperlink ref="L8" r:id="rId4"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xr:uid="{C2CB36C2-AFDE-4E09-918C-B0C9C874AD9D}"/>
    <hyperlink ref="L9" r:id="rId5"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612GS%2DBL%2Epdf&amp;parent=%2Fsites%2FAcornBioenergySharedFiles%2FShared%20Documents%2FEngineering%2FTechnology%20Providers%2D%20Supply%20chain%2FCombined%20Heat%20and%20Power%2FJennbacher" xr:uid="{A0181E09-E444-4AE4-B0F5-42ACA2D91DAF}"/>
    <hyperlink ref="L10" r:id="rId6"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xr:uid="{4F96B7CC-98E7-40F6-9D32-9AD1C34BF119}"/>
    <hyperlink ref="L3" r:id="rId7"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xr:uid="{D7E74A44-F29D-45C9-B1C0-EEA4EC73B69F}"/>
    <hyperlink ref="L4" r:id="rId8"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6GS%2DBL%2Epdf&amp;parent=%2Fsites%2FAcornBioenergySharedFiles%2FShared%20Documents%2FEngineering%2FTechnology%20Providers%2D%20Supply%20chain%2FCombined%20Heat%20and%20Power%2FJennbacher" xr:uid="{10C55110-01A0-4203-B8D3-79B2F7A75470}"/>
    <hyperlink ref="L11" r:id="rId9"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2G%2FTSP%5Fct80%2D1%5F50Hz%5F400V%5F250NOx%5F%5F2263462%2Epdf&amp;parent=%2Fsites%2FAcornBioenergySharedFiles%2FShared%20Documents%2FEngineering%2FTechnology%20Providers%2D%20Supply%20chain%2FCombined%20Heat%20and%20Power%2F2G" xr:uid="{6ACC720C-943D-48CD-AB1F-EB06254C8F6C}"/>
    <hyperlink ref="L12" r:id="rId10"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2G%2FTSP%5F12V4000%20L64FNER%5F50Hz%5F400V%5F250NOx%5FMZ70%5F%5F2686765%2Epdf&amp;parent=%2Fsites%2FAcornBioenergySharedFiles%2FShared%20Documents%2FEngineering%2FTechnology%20Providers%2D%20Supply%20chain%2FCombined%20Heat%20and%20Power%2F2G" xr:uid="{18513E99-B288-4521-BD3B-B70373D4BF72}"/>
    <hyperlink ref="L25" r:id="rId11"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861237AB-F994-424A-B4E7-519F3987D01B}"/>
    <hyperlink ref="L26" r:id="rId12"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xr:uid="{F405704D-E42A-4793-9C96-EE674F32E383}"/>
    <hyperlink ref="L27" r:id="rId13"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xr:uid="{EE84AF0E-1847-4527-9D7F-88F13A3652C4}"/>
    <hyperlink ref="L28" r:id="rId14"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xr:uid="{2527147C-E5E4-4792-BA72-B4E1ECADE1E7}"/>
    <hyperlink ref="L29" r:id="rId15"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612GS%2DBL%2Epdf&amp;parent=%2Fsites%2FAcornBioenergySharedFiles%2FShared%20Documents%2FEngineering%2FTechnology%20Providers%2D%20Supply%20chain%2FCombined%20Heat%20and%20Power%2FJennbacher" xr:uid="{4CBC2B04-A561-4DF1-9A48-071E223DC77E}"/>
    <hyperlink ref="L30" r:id="rId16"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xr:uid="{20699229-5CE3-4107-A9BD-A0A62A52C0BC}"/>
    <hyperlink ref="L23" r:id="rId17"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xr:uid="{7BB30DA7-76DC-4C25-94DF-040EC0A26E05}"/>
    <hyperlink ref="L24" r:id="rId18"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6GS%2DBL%2Epdf&amp;parent=%2Fsites%2FAcornBioenergySharedFiles%2FShared%20Documents%2FEngineering%2FTechnology%20Providers%2D%20Supply%20chain%2FCombined%20Heat%20and%20Power%2FJennbacher" xr:uid="{6D6066B7-6D4C-4F77-A80E-4D97CF21D0BB}"/>
    <hyperlink ref="L51" r:id="rId19"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xr:uid="{B9C9CCC4-6B74-4E70-9F87-878B5B4318A3}"/>
    <hyperlink ref="L52" r:id="rId20"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xr:uid="{84859FC5-AFA5-40E6-9189-87420829DE25}"/>
    <hyperlink ref="L41" r:id="rId21"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5406687B-D9B3-42BC-97BC-5DFEF9C3DA7B}"/>
    <hyperlink ref="L56" r:id="rId22"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5B4ED424-21D4-4EB3-BF20-3654AE7A4B10}"/>
    <hyperlink ref="L57" r:id="rId23"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722EA24A-923A-4F74-9E81-7ADC5997698B}"/>
    <hyperlink ref="L58" r:id="rId24"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74748F6F-D9CB-44A4-8677-30F77FF19B1E}"/>
    <hyperlink ref="L62" r:id="rId25"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EBDE15E6-1C83-477B-B6E6-479FFC3B34BF}"/>
    <hyperlink ref="L43" r:id="rId26"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53ADDDAF-71D1-46A4-915D-2BFF22AE4B8D}"/>
    <hyperlink ref="L67" r:id="rId27"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xr:uid="{51460703-0A40-42C4-9171-82637C99E50C}"/>
    <hyperlink ref="L68" r:id="rId28"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xr:uid="{9BBC7334-2080-4A3F-8A7B-E1DF72096F41}"/>
    <hyperlink ref="L63" r:id="rId29"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616GS%2DBL%2Epdf&amp;parent=%2Fsites%2FAcornBioenergySharedFiles%2FShared%20Documents%2FEngineering%2FTechnology%20Providers%2D%20Supply%20chain%2FCombined%20Heat%20and%20Power%2FJennbacher" xr:uid="{C55F3841-7191-44EC-9D17-6C66D1C9BAB8}"/>
    <hyperlink ref="L72" r:id="rId30"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xr:uid="{47418022-1E0D-4630-845A-7AD4B1F92C34}"/>
    <hyperlink ref="L73" r:id="rId31"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20GS%2DBL%2Epdf&amp;parent=%2Fsites%2FAcornBioenergySharedFiles%2FShared%20Documents%2FEngineering%2FTechnology%20Providers%2D%20Supply%20chain%2FCombined%20Heat%20and%20Power%2FJennbacher" xr:uid="{8CF36708-67C6-44BA-B507-DAB82624FEA6}"/>
    <hyperlink ref="L74" r:id="rId32"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7DFDC79F-BBB0-4AF4-89E7-CD58B5E4C0BC}"/>
    <hyperlink ref="L78" r:id="rId33"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xr:uid="{B702FFD5-5C82-4629-BB03-D01FDF218461}"/>
    <hyperlink ref="L79" r:id="rId34"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2GS%2DBL%2Epdf&amp;parent=%2Fsites%2FAcornBioenergySharedFiles%2FShared%20Documents%2FEngineering%2FTechnology%20Providers%2D%20Supply%20chain%2FCombined%20Heat%20and%20Power%2FJennbacher" xr:uid="{0B22A182-7CC9-44C2-A784-9C3A2243AC40}"/>
    <hyperlink ref="L80" r:id="rId35"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33611579-5B99-4CA7-A596-0320DC1E8F1D}"/>
    <hyperlink ref="L84" r:id="rId36"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A51567BE-6ECB-4099-976C-5AE58A51D710}"/>
    <hyperlink ref="L85" r:id="rId37"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20GS%2DBL%2Epdf&amp;parent=%2Fsites%2FAcornBioenergySharedFiles%2FShared%20Documents%2FEngineering%2FTechnology%20Providers%2D%20Supply%20chain%2FCombined%20Heat%20and%20Power%2FJennbacher" xr:uid="{399431D4-6253-452E-893E-B65EAEB13C2B}"/>
    <hyperlink ref="L86" r:id="rId38"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D73FA433-4ED0-46EE-AE73-DC0A3AFAFB38}"/>
    <hyperlink ref="L91" r:id="rId39"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416GS%2DBL%2Epdf&amp;parent=%2Fsites%2FAcornBioenergySharedFiles%2FShared%20Documents%2FEngineering%2FTechnology%20Providers%2D%20Supply%20chain%2FCombined%20Heat%20and%20Power%2FJennbacher" xr:uid="{C64CEDEE-3670-4090-81AC-496FB1635B62}"/>
    <hyperlink ref="L90" r:id="rId40" display="https://acornbioenergy.sharepoint.com/sites/AcornBioenergySharedFiles/Shared Documents/Forms/AllItems.aspx?FolderCTID=0x01200070B1B10FC52D944287762339E7C61DCC&amp;id=%2Fsites%2FAcornBioenergySharedFiles%2FShared%20Documents%2FEngineering%2FTechnology%20Providers%2D%20Supply%20chain%2FCombined%20Heat%20and%20Power%2FJennbacher%2FJMS312GS%2DBL%2Epdf&amp;parent=%2Fsites%2FAcornBioenergySharedFiles%2FShared%20Documents%2FEngineering%2FTechnology%20Providers%2D%20Supply%20chain%2FCombined%20Heat%20and%20Power%2FJennbacher" xr:uid="{F10AE771-C1A0-4A10-AF38-2989857BAC2E}"/>
    <hyperlink ref="L92" r:id="rId41" display="https://acornbioenergy.sharepoint.com/sites/AcornBioenergySharedFiles/Shared Documents/Forms/AllItems.aspx?FolderCTID=0x01200070B1B10FC52D944287762339E7C61DCC&amp;id=%2Fsites%2FAcornBioenergySharedFiles%2FShared%20Documents%2FEngineering%2FTechnology%20Providers%2D%20Supply%20chain%2FBoiler%2FViessmann%2F5797355VDP00003%5F1%2DData%2DSheet%2D620%2D2000kW%2Epdf&amp;parent=%2Fsites%2FAcornBioenergySharedFiles%2FShared%20Documents%2FEngineering%2FTechnology%20Providers%2D%20Supply%20chain%2FBoiler%2FViessmann" xr:uid="{5A7C360E-ED20-452C-86D9-56DA3332AFF4}"/>
    <hyperlink ref="L94" r:id="rId42" xr:uid="{EF17DA18-9608-4889-A86A-2541C9426224}"/>
    <hyperlink ref="L33" r:id="rId43" xr:uid="{5DD50B6A-585D-4BFE-827D-F1225D56F569}"/>
    <hyperlink ref="L45" r:id="rId44" display="https://www.hampshiregenerators.co.uk/product/generators/diesel-generators/500kva-open-diesel-generator-perkins-2506a-e15tag2-diesel-engine/" xr:uid="{55F0FEBC-C463-41A0-98D5-B6528420700A}"/>
    <hyperlink ref="L46" r:id="rId45" xr:uid="{00FC90EB-A96A-4233-941E-09883490032E}"/>
    <hyperlink ref="L34" r:id="rId46" xr:uid="{50BA8B46-0C1C-4EFC-9258-9D7308CE5F99}"/>
    <hyperlink ref="L13" r:id="rId47" xr:uid="{3CCF59D7-54FE-4DF2-9946-91D8B67DB419}"/>
    <hyperlink ref="L19" r:id="rId48" xr:uid="{C5EB9E27-A6AC-44FD-B6DA-9404D3AF27FD}"/>
    <hyperlink ref="L37" r:id="rId49" xr:uid="{8C96173D-8C8E-4899-A65E-6416BD2A0BD9}"/>
    <hyperlink ref="L47" r:id="rId50" xr:uid="{4B10F452-59C3-4469-86A1-31B22CA7B4E9}"/>
    <hyperlink ref="L48" r:id="rId51" xr:uid="{F573CEFE-5F0D-4ACE-B8FF-994E0A6B3348}"/>
    <hyperlink ref="L14" r:id="rId52" xr:uid="{50B0F430-6D96-4732-910C-4BC10C49B365}"/>
    <hyperlink ref="L32" r:id="rId53" xr:uid="{8A9D5AA1-6730-4758-B09A-66CDB60EFEBA}"/>
    <hyperlink ref="L31" r:id="rId54" display="../../Forms/AllItems.aspx?FolderCTID=0x01200070B1B10FC52D944287762339E7C61DCC&amp;id=%2Fsites%2FAcornBioenergySharedFiles%2FShared%20Documents%2FEngineering%2FTechnology%20Providers%2D%20Supply%20chain%2FCombined%20Heat%20and%20Power%2FTedom%20%28KM%20Cogeneration%29%2FSupporting%20Docs%20Flexi%20530%2Ezip&amp;viewid=0e0ef426%2Dc1e6%2D4377%2D9f4c%2D0d63ebf2e2ce&amp;parent=%2Fsites%2FAcornBioenergySharedFiles%2FShared%20Documents%2FEngineering%2FTechnology%20Providers%2D%20Supply%20chain%2FCombined%20Heat%20and%20Power%2FTedom%20%28KM%20Cogeneration%29" xr:uid="{F5108ADD-EA54-47AA-8131-EEEEF77031C7}"/>
    <hyperlink ref="L15" r:id="rId55" display="../../Forms/AllItems.aspx?FolderCTID=0x01200070B1B10FC52D944287762339E7C61DCC&amp;id=%2Fsites%2FAcornBioenergySharedFiles%2FShared%20Documents%2FEngineering%2FTechnology%20Providers%2D%20Supply%20chain%2FCombined%20Heat%20and%20Power%2FTedom%20%28Shenton%29%2FAcorn%2E%201051040%20%2D%20800kWe%20BIO%2Epdf&amp;parent=%2Fsites%2FAcornBioenergySharedFiles%2FShared%20Documents%2FEngineering%2FTechnology%20Providers%2D%20Supply%20chain%2FCombined%20Heat%20and%20Power%2FTedom%20%28Shenton%29" xr:uid="{BAD5498B-6D30-4AC4-92B8-35E0A708C060}"/>
    <hyperlink ref="L18" r:id="rId56" display="../../Forms/AllItems.aspx?FolderCTID=0x01200070B1B10FC52D944287762339E7C61DCC&amp;id=%2Fsites%2FAcornBioenergySharedFiles%2FShared%20Documents%2FEngineering%2FTechnology%20Providers%2D%20Supply%20chain%2FCombined%20Heat%20and%20Power%2FTedom%20%28KM%20Cogeneration%29%2FSupporting%20Docs%20Quanto%201600%2Ezip&amp;viewid=0e0ef426%2Dc1e6%2D4377%2D9f4c%2D0d63ebf2e2ce&amp;parent=%2Fsites%2FAcornBioenergySharedFiles%2FShared%20Documents%2FEngineering%2FTechnology%20Providers%2D%20Supply%20chain%2FCombined%20Heat%20and%20Power%2FTedom%20%28KM%20Cogeneration%29" xr:uid="{757BA526-F16C-4215-93AD-F7C21A0B99EC}"/>
    <hyperlink ref="L16" r:id="rId57" xr:uid="{12DDD9C0-5C22-44E5-8DB5-E2C97643495E}"/>
    <hyperlink ref="L36" r:id="rId58" xr:uid="{98B12F93-4669-43D3-8C43-8FB57D780819}"/>
  </hyperlinks>
  <pageMargins left="0.7" right="0.7" top="0.75" bottom="0.75" header="0.3" footer="0.3"/>
  <legacyDrawing r:id="rId5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008B-5A83-4B8F-8B53-7A4AAFCBF527}">
  <sheetPr codeName="Sheet9"/>
  <dimension ref="A1:H19"/>
  <sheetViews>
    <sheetView workbookViewId="0">
      <selection activeCell="D1" sqref="D1"/>
    </sheetView>
  </sheetViews>
  <sheetFormatPr defaultRowHeight="14.5" x14ac:dyDescent="0.35"/>
  <cols>
    <col min="1" max="1" width="22.54296875" customWidth="1"/>
    <col min="2" max="2" width="29.453125" customWidth="1"/>
    <col min="3" max="3" width="27.54296875" customWidth="1"/>
    <col min="4" max="4" width="22" customWidth="1"/>
    <col min="5" max="5" width="21.453125" customWidth="1"/>
    <col min="6" max="7" width="24.453125" customWidth="1"/>
  </cols>
  <sheetData>
    <row r="1" spans="1:8" x14ac:dyDescent="0.35">
      <c r="A1" s="68" t="s">
        <v>234</v>
      </c>
      <c r="B1" s="65" t="s">
        <v>577</v>
      </c>
      <c r="C1" s="39" t="s">
        <v>579</v>
      </c>
      <c r="D1" s="39" t="s">
        <v>239</v>
      </c>
      <c r="E1" s="39" t="s">
        <v>237</v>
      </c>
      <c r="F1" s="39" t="s">
        <v>238</v>
      </c>
      <c r="G1" s="40" t="s">
        <v>245</v>
      </c>
    </row>
    <row r="2" spans="1:8" ht="6.65" customHeight="1" x14ac:dyDescent="0.35">
      <c r="A2" s="67"/>
      <c r="B2" s="18"/>
      <c r="C2" s="40"/>
    </row>
    <row r="3" spans="1:8" x14ac:dyDescent="0.35">
      <c r="A3" s="67" t="s">
        <v>236</v>
      </c>
      <c r="B3" s="18"/>
      <c r="C3" s="40"/>
    </row>
    <row r="4" spans="1:8" x14ac:dyDescent="0.35">
      <c r="A4" s="39" t="s">
        <v>132</v>
      </c>
      <c r="B4" s="70">
        <f>Agraferm!N14/8760</f>
        <v>61.598173515981735</v>
      </c>
      <c r="C4" s="70">
        <f>Agraferm!C119+Agraferm!C121</f>
        <v>437.4375</v>
      </c>
    </row>
    <row r="5" spans="1:8" x14ac:dyDescent="0.35">
      <c r="A5" s="39" t="s">
        <v>133</v>
      </c>
      <c r="B5" s="70">
        <f>4285000/8760</f>
        <v>489.15525114155253</v>
      </c>
      <c r="C5" s="70" t="e">
        <f>#REF!</f>
        <v>#REF!</v>
      </c>
    </row>
    <row r="6" spans="1:8" x14ac:dyDescent="0.35">
      <c r="A6" s="39" t="s">
        <v>67</v>
      </c>
      <c r="B6" s="70">
        <v>598</v>
      </c>
      <c r="C6" s="70" t="e">
        <f>#REF!</f>
        <v>#REF!</v>
      </c>
    </row>
    <row r="7" spans="1:8" x14ac:dyDescent="0.35">
      <c r="A7" s="39" t="s">
        <v>134</v>
      </c>
      <c r="B7" s="70">
        <f>1400/8760*1000</f>
        <v>159.8173515981735</v>
      </c>
      <c r="C7" s="70" t="e">
        <f>#REF!</f>
        <v>#REF!</v>
      </c>
    </row>
    <row r="8" spans="1:8" ht="7.5" customHeight="1" x14ac:dyDescent="0.35">
      <c r="A8" s="40"/>
      <c r="B8" s="69"/>
    </row>
    <row r="9" spans="1:8" x14ac:dyDescent="0.35">
      <c r="A9" s="45" t="s">
        <v>244</v>
      </c>
    </row>
    <row r="10" spans="1:8" x14ac:dyDescent="0.35">
      <c r="A10" s="39" t="s">
        <v>113</v>
      </c>
      <c r="B10" s="71">
        <v>0</v>
      </c>
      <c r="C10" s="70">
        <f>Agraferm!C170</f>
        <v>655</v>
      </c>
      <c r="D10" s="72">
        <v>2200</v>
      </c>
      <c r="F10" s="74">
        <f>C10/D10</f>
        <v>0.29772727272727273</v>
      </c>
      <c r="G10" s="73">
        <v>220</v>
      </c>
      <c r="H10" s="6" t="s">
        <v>240</v>
      </c>
    </row>
    <row r="11" spans="1:8" x14ac:dyDescent="0.35">
      <c r="A11" s="39" t="s">
        <v>233</v>
      </c>
      <c r="B11" s="39">
        <v>0</v>
      </c>
      <c r="C11" s="70">
        <f>5571000/8760</f>
        <v>635.95890410958907</v>
      </c>
      <c r="D11" s="72">
        <v>2100</v>
      </c>
      <c r="F11" s="74">
        <f>C11/D11</f>
        <v>0.30283757338551859</v>
      </c>
      <c r="G11" s="73">
        <v>220</v>
      </c>
      <c r="H11" s="6" t="s">
        <v>242</v>
      </c>
    </row>
    <row r="12" spans="1:8" x14ac:dyDescent="0.35">
      <c r="A12" s="39" t="s">
        <v>235</v>
      </c>
      <c r="B12" s="38"/>
      <c r="C12" s="38"/>
    </row>
    <row r="13" spans="1:8" ht="7.4" customHeight="1" x14ac:dyDescent="0.35">
      <c r="A13" s="40"/>
    </row>
    <row r="14" spans="1:8" x14ac:dyDescent="0.35">
      <c r="A14" s="45" t="s">
        <v>119</v>
      </c>
    </row>
    <row r="15" spans="1:8" x14ac:dyDescent="0.35">
      <c r="A15" s="39" t="s">
        <v>232</v>
      </c>
      <c r="B15" s="38"/>
      <c r="C15" s="70">
        <f>Agraferm!C169</f>
        <v>239</v>
      </c>
      <c r="D15" s="72">
        <v>1250</v>
      </c>
      <c r="F15" s="74">
        <f>C15/D15</f>
        <v>0.19120000000000001</v>
      </c>
      <c r="G15" s="74"/>
      <c r="H15" s="6" t="s">
        <v>241</v>
      </c>
    </row>
    <row r="16" spans="1:8" x14ac:dyDescent="0.35">
      <c r="A16" s="39" t="s">
        <v>120</v>
      </c>
      <c r="B16" s="38"/>
      <c r="C16" s="203">
        <v>152</v>
      </c>
      <c r="D16" s="204">
        <v>1160</v>
      </c>
      <c r="E16" s="47"/>
      <c r="F16" s="205">
        <f>C16/D16</f>
        <v>0.1310344827586207</v>
      </c>
    </row>
    <row r="18" spans="1:3" x14ac:dyDescent="0.35">
      <c r="A18" s="45" t="s">
        <v>576</v>
      </c>
    </row>
    <row r="19" spans="1:3" x14ac:dyDescent="0.35">
      <c r="A19" s="39" t="s">
        <v>578</v>
      </c>
      <c r="B19" s="71">
        <v>0</v>
      </c>
      <c r="C19" s="70">
        <f>Agraferm!C171</f>
        <v>440</v>
      </c>
    </row>
  </sheetData>
  <hyperlinks>
    <hyperlink ref="H10" r:id="rId1" xr:uid="{47F0BCCD-21A6-4014-A88D-2B90ECE05F82}"/>
    <hyperlink ref="H15" r:id="rId2" xr:uid="{F8EDDB11-8776-46CB-89F4-6AEF61815A25}"/>
    <hyperlink ref="H11" r:id="rId3" xr:uid="{DBAABE6F-578A-4E1A-8F56-7749986BEDEA}"/>
  </hyperlinks>
  <pageMargins left="0.7" right="0.7" top="0.75" bottom="0.75" header="0.3" footer="0.3"/>
  <pageSetup orientation="portrait" horizontalDpi="300" verticalDpi="300" r:id="rId4"/>
  <legacy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3156-0FE7-433D-95D3-F2699D39B9D1}">
  <dimension ref="A1:AC188"/>
  <sheetViews>
    <sheetView topLeftCell="A86" zoomScale="59" zoomScaleNormal="60" workbookViewId="0">
      <selection activeCell="C171" sqref="C171"/>
    </sheetView>
  </sheetViews>
  <sheetFormatPr defaultRowHeight="14.5" x14ac:dyDescent="0.35"/>
  <cols>
    <col min="1" max="1" width="41.453125" bestFit="1" customWidth="1"/>
    <col min="2" max="2" width="13.54296875" bestFit="1" customWidth="1"/>
    <col min="3" max="3" width="17.453125" bestFit="1" customWidth="1"/>
    <col min="4" max="4" width="24.54296875" bestFit="1" customWidth="1"/>
    <col min="5" max="5" width="16" customWidth="1"/>
    <col min="6" max="6" width="16.453125" customWidth="1"/>
    <col min="7" max="7" width="18.54296875" customWidth="1"/>
    <col min="8" max="8" width="15" customWidth="1"/>
  </cols>
  <sheetData>
    <row r="1" spans="1:29" x14ac:dyDescent="0.35">
      <c r="A1" s="172" t="s">
        <v>398</v>
      </c>
      <c r="B1" t="s">
        <v>400</v>
      </c>
      <c r="C1" t="s">
        <v>401</v>
      </c>
      <c r="D1" t="s">
        <v>402</v>
      </c>
      <c r="E1" t="s">
        <v>403</v>
      </c>
      <c r="F1" t="s">
        <v>404</v>
      </c>
      <c r="G1" t="s">
        <v>405</v>
      </c>
      <c r="H1" t="s">
        <v>406</v>
      </c>
      <c r="I1" t="s">
        <v>407</v>
      </c>
      <c r="J1" t="s">
        <v>408</v>
      </c>
      <c r="K1" t="s">
        <v>409</v>
      </c>
      <c r="L1" t="s">
        <v>410</v>
      </c>
      <c r="M1" t="s">
        <v>411</v>
      </c>
      <c r="N1" t="s">
        <v>75</v>
      </c>
      <c r="P1" s="221" t="s">
        <v>398</v>
      </c>
      <c r="Q1" s="47" t="s">
        <v>400</v>
      </c>
      <c r="R1" s="47" t="s">
        <v>401</v>
      </c>
      <c r="S1" s="47" t="s">
        <v>402</v>
      </c>
      <c r="T1" s="47" t="s">
        <v>403</v>
      </c>
      <c r="U1" s="47" t="s">
        <v>404</v>
      </c>
      <c r="V1" s="47" t="s">
        <v>405</v>
      </c>
      <c r="W1" s="47" t="s">
        <v>406</v>
      </c>
      <c r="X1" s="47" t="s">
        <v>407</v>
      </c>
      <c r="Y1" s="47" t="s">
        <v>408</v>
      </c>
      <c r="Z1" s="47" t="s">
        <v>409</v>
      </c>
      <c r="AA1" s="47" t="s">
        <v>410</v>
      </c>
      <c r="AB1" s="47" t="s">
        <v>411</v>
      </c>
    </row>
    <row r="2" spans="1:29" ht="29" x14ac:dyDescent="0.35">
      <c r="A2" s="172" t="s">
        <v>399</v>
      </c>
      <c r="B2">
        <v>31</v>
      </c>
      <c r="C2">
        <v>28</v>
      </c>
      <c r="D2">
        <v>31</v>
      </c>
      <c r="E2">
        <v>30</v>
      </c>
      <c r="F2">
        <v>31</v>
      </c>
      <c r="G2">
        <v>30</v>
      </c>
      <c r="H2">
        <v>31</v>
      </c>
      <c r="I2">
        <v>31</v>
      </c>
      <c r="J2">
        <v>30</v>
      </c>
      <c r="K2">
        <v>31</v>
      </c>
      <c r="L2">
        <v>30</v>
      </c>
      <c r="M2">
        <v>31</v>
      </c>
      <c r="N2">
        <f>SUM(B2:M2)</f>
        <v>365</v>
      </c>
      <c r="P2" s="221" t="s">
        <v>399</v>
      </c>
      <c r="Q2" s="47">
        <v>31</v>
      </c>
      <c r="R2" s="47">
        <v>28</v>
      </c>
      <c r="S2" s="47">
        <v>31</v>
      </c>
      <c r="T2" s="47">
        <v>30</v>
      </c>
      <c r="U2" s="47">
        <v>31</v>
      </c>
      <c r="V2" s="47">
        <v>30</v>
      </c>
      <c r="W2" s="47">
        <v>31</v>
      </c>
      <c r="X2" s="47">
        <v>31</v>
      </c>
      <c r="Y2" s="47">
        <v>30</v>
      </c>
      <c r="Z2" s="47">
        <v>31</v>
      </c>
      <c r="AA2" s="47">
        <v>30</v>
      </c>
      <c r="AB2" s="47">
        <v>31</v>
      </c>
    </row>
    <row r="3" spans="1:29" ht="43.5" x14ac:dyDescent="0.35">
      <c r="A3" s="207" t="s">
        <v>453</v>
      </c>
      <c r="B3" s="213">
        <f>55100/2</f>
        <v>27550</v>
      </c>
      <c r="C3" s="213">
        <f>49800/2</f>
        <v>24900</v>
      </c>
      <c r="D3" s="213">
        <f>42500/2</f>
        <v>21250</v>
      </c>
      <c r="E3" s="213">
        <f>21600/2</f>
        <v>10800</v>
      </c>
      <c r="F3" s="213">
        <v>0</v>
      </c>
      <c r="G3" s="213">
        <v>0</v>
      </c>
      <c r="H3" s="213">
        <v>0</v>
      </c>
      <c r="I3" s="213">
        <v>0</v>
      </c>
      <c r="J3" s="213">
        <v>0</v>
      </c>
      <c r="K3" s="213">
        <f>3000/2</f>
        <v>1500</v>
      </c>
      <c r="L3" s="213">
        <f>31700/2</f>
        <v>15850</v>
      </c>
      <c r="M3" s="213">
        <f>50600/2</f>
        <v>25300</v>
      </c>
      <c r="N3">
        <f t="shared" ref="N3:N15" si="0">SUM(B3:M3)</f>
        <v>127150</v>
      </c>
      <c r="P3" s="222" t="s">
        <v>412</v>
      </c>
      <c r="Q3" s="47">
        <v>12170</v>
      </c>
      <c r="R3" s="47">
        <v>11480</v>
      </c>
      <c r="S3" s="47">
        <v>12710</v>
      </c>
      <c r="T3" s="47">
        <v>12300</v>
      </c>
      <c r="U3" s="47">
        <v>12710</v>
      </c>
      <c r="V3" s="47">
        <v>12300</v>
      </c>
      <c r="W3" s="47">
        <v>12710</v>
      </c>
      <c r="X3" s="47">
        <v>12710</v>
      </c>
      <c r="Y3" s="47">
        <v>12300</v>
      </c>
      <c r="Z3" s="47">
        <v>12710</v>
      </c>
      <c r="AA3" s="47">
        <v>12300</v>
      </c>
      <c r="AB3" s="47">
        <v>12710</v>
      </c>
    </row>
    <row r="4" spans="1:29" ht="58" x14ac:dyDescent="0.35">
      <c r="A4" s="208" t="s">
        <v>454</v>
      </c>
      <c r="B4" s="214"/>
      <c r="C4" s="214"/>
      <c r="D4" s="214"/>
      <c r="E4" s="214"/>
      <c r="F4" s="214">
        <f>3000/2</f>
        <v>1500</v>
      </c>
      <c r="G4" s="214">
        <f>24500/2</f>
        <v>12250</v>
      </c>
      <c r="H4" s="214">
        <f>41000/2</f>
        <v>20500</v>
      </c>
      <c r="I4" s="214">
        <f>37200/2</f>
        <v>18600</v>
      </c>
      <c r="J4" s="214">
        <f>20900/2</f>
        <v>10450</v>
      </c>
      <c r="K4" s="214"/>
      <c r="L4" s="214"/>
      <c r="M4" s="214"/>
      <c r="N4">
        <f t="shared" si="0"/>
        <v>63300</v>
      </c>
      <c r="P4" s="221" t="s">
        <v>413</v>
      </c>
      <c r="Q4" s="47">
        <v>486966</v>
      </c>
      <c r="R4" s="47">
        <v>439840</v>
      </c>
      <c r="S4" s="47">
        <v>486966</v>
      </c>
      <c r="T4" s="47">
        <v>471258</v>
      </c>
      <c r="U4" s="47">
        <v>486966</v>
      </c>
      <c r="V4" s="47">
        <v>471258</v>
      </c>
      <c r="W4" s="47">
        <v>486966</v>
      </c>
      <c r="X4" s="47">
        <v>486966</v>
      </c>
      <c r="Y4" s="47">
        <v>471258</v>
      </c>
      <c r="Z4" s="47">
        <v>486966</v>
      </c>
      <c r="AA4" s="47">
        <v>471258</v>
      </c>
      <c r="AB4" s="47">
        <v>486966</v>
      </c>
      <c r="AC4" s="156">
        <f>SUM(Q4:AB4)</f>
        <v>5733634</v>
      </c>
    </row>
    <row r="5" spans="1:29" ht="101.5" x14ac:dyDescent="0.35">
      <c r="A5" s="207" t="s">
        <v>455</v>
      </c>
      <c r="B5" s="213">
        <f>B3*2</f>
        <v>55100</v>
      </c>
      <c r="C5" s="213">
        <f t="shared" ref="C5:M5" si="1">C3*2</f>
        <v>49800</v>
      </c>
      <c r="D5" s="213">
        <f t="shared" si="1"/>
        <v>42500</v>
      </c>
      <c r="E5" s="213">
        <f t="shared" si="1"/>
        <v>21600</v>
      </c>
      <c r="F5" s="213">
        <f t="shared" si="1"/>
        <v>0</v>
      </c>
      <c r="G5" s="213">
        <f t="shared" si="1"/>
        <v>0</v>
      </c>
      <c r="H5" s="213">
        <f t="shared" si="1"/>
        <v>0</v>
      </c>
      <c r="I5" s="213">
        <f t="shared" si="1"/>
        <v>0</v>
      </c>
      <c r="J5" s="213">
        <f t="shared" si="1"/>
        <v>0</v>
      </c>
      <c r="K5" s="213">
        <f t="shared" si="1"/>
        <v>3000</v>
      </c>
      <c r="L5" s="213">
        <f t="shared" si="1"/>
        <v>31700</v>
      </c>
      <c r="M5" s="213">
        <f t="shared" si="1"/>
        <v>50600</v>
      </c>
      <c r="N5">
        <f t="shared" si="0"/>
        <v>254300</v>
      </c>
      <c r="P5" s="221" t="s">
        <v>414</v>
      </c>
      <c r="Q5" s="223">
        <f>(Q4/Q2)/24</f>
        <v>654.52419354838707</v>
      </c>
      <c r="R5" s="223">
        <f t="shared" ref="R5:AB5" si="2">(R4/R2)/24</f>
        <v>654.52380952380952</v>
      </c>
      <c r="S5" s="223">
        <f t="shared" si="2"/>
        <v>654.52419354838707</v>
      </c>
      <c r="T5" s="223">
        <f t="shared" si="2"/>
        <v>654.52499999999998</v>
      </c>
      <c r="U5" s="223">
        <f t="shared" si="2"/>
        <v>654.52419354838707</v>
      </c>
      <c r="V5" s="223">
        <f t="shared" si="2"/>
        <v>654.52499999999998</v>
      </c>
      <c r="W5" s="223">
        <f t="shared" si="2"/>
        <v>654.52419354838707</v>
      </c>
      <c r="X5" s="223">
        <f t="shared" si="2"/>
        <v>654.52419354838707</v>
      </c>
      <c r="Y5" s="223">
        <f t="shared" si="2"/>
        <v>654.52499999999998</v>
      </c>
      <c r="Z5" s="223">
        <f t="shared" si="2"/>
        <v>654.52419354838707</v>
      </c>
      <c r="AA5" s="223">
        <f t="shared" si="2"/>
        <v>654.52499999999998</v>
      </c>
      <c r="AB5" s="223">
        <f t="shared" si="2"/>
        <v>654.52419354838707</v>
      </c>
    </row>
    <row r="6" spans="1:29" x14ac:dyDescent="0.35">
      <c r="A6" s="208" t="s">
        <v>456</v>
      </c>
      <c r="B6" s="214">
        <f t="shared" ref="B6:M6" si="3">B4*2</f>
        <v>0</v>
      </c>
      <c r="C6" s="214">
        <f t="shared" si="3"/>
        <v>0</v>
      </c>
      <c r="D6" s="214">
        <f t="shared" si="3"/>
        <v>0</v>
      </c>
      <c r="E6" s="214">
        <f t="shared" si="3"/>
        <v>0</v>
      </c>
      <c r="F6" s="214">
        <f t="shared" si="3"/>
        <v>3000</v>
      </c>
      <c r="G6" s="214">
        <f t="shared" si="3"/>
        <v>24500</v>
      </c>
      <c r="H6" s="214">
        <f t="shared" si="3"/>
        <v>41000</v>
      </c>
      <c r="I6" s="214">
        <f t="shared" si="3"/>
        <v>37200</v>
      </c>
      <c r="J6" s="214">
        <f t="shared" si="3"/>
        <v>20900</v>
      </c>
      <c r="K6" s="214">
        <f t="shared" si="3"/>
        <v>0</v>
      </c>
      <c r="L6" s="214">
        <f t="shared" si="3"/>
        <v>0</v>
      </c>
      <c r="M6" s="214">
        <f t="shared" si="3"/>
        <v>0</v>
      </c>
      <c r="N6">
        <f t="shared" si="0"/>
        <v>126600</v>
      </c>
    </row>
    <row r="7" spans="1:29" x14ac:dyDescent="0.35">
      <c r="A7" s="207" t="s">
        <v>457</v>
      </c>
      <c r="B7" s="247">
        <f t="shared" ref="B7:M7" si="4">(B5/B2)/24</f>
        <v>74.05913978494624</v>
      </c>
      <c r="C7" s="247">
        <f t="shared" si="4"/>
        <v>74.107142857142861</v>
      </c>
      <c r="D7" s="247">
        <f t="shared" si="4"/>
        <v>57.123655913978496</v>
      </c>
      <c r="E7" s="247">
        <f t="shared" si="4"/>
        <v>30</v>
      </c>
      <c r="F7" s="247">
        <f t="shared" si="4"/>
        <v>0</v>
      </c>
      <c r="G7" s="247">
        <f t="shared" si="4"/>
        <v>0</v>
      </c>
      <c r="H7" s="247">
        <f t="shared" si="4"/>
        <v>0</v>
      </c>
      <c r="I7" s="247">
        <f t="shared" si="4"/>
        <v>0</v>
      </c>
      <c r="J7" s="247">
        <f t="shared" si="4"/>
        <v>0</v>
      </c>
      <c r="K7" s="247">
        <f t="shared" si="4"/>
        <v>4.032258064516129</v>
      </c>
      <c r="L7" s="247">
        <f t="shared" si="4"/>
        <v>44.027777777777779</v>
      </c>
      <c r="M7" s="247">
        <f t="shared" si="4"/>
        <v>68.010752688172047</v>
      </c>
      <c r="N7">
        <f t="shared" si="0"/>
        <v>351.36072708653353</v>
      </c>
    </row>
    <row r="8" spans="1:29" x14ac:dyDescent="0.35">
      <c r="A8" s="208" t="s">
        <v>458</v>
      </c>
      <c r="B8" s="215">
        <f t="shared" ref="B8:M8" si="5">(B6/B2)/24</f>
        <v>0</v>
      </c>
      <c r="C8" s="215">
        <f t="shared" si="5"/>
        <v>0</v>
      </c>
      <c r="D8" s="215">
        <f t="shared" si="5"/>
        <v>0</v>
      </c>
      <c r="E8" s="215">
        <f t="shared" si="5"/>
        <v>0</v>
      </c>
      <c r="F8" s="215">
        <f t="shared" si="5"/>
        <v>4.032258064516129</v>
      </c>
      <c r="G8" s="215">
        <f t="shared" si="5"/>
        <v>34.027777777777779</v>
      </c>
      <c r="H8" s="215">
        <f t="shared" si="5"/>
        <v>55.107526881720425</v>
      </c>
      <c r="I8" s="215">
        <f t="shared" si="5"/>
        <v>50</v>
      </c>
      <c r="J8" s="215">
        <f t="shared" si="5"/>
        <v>29.027777777777775</v>
      </c>
      <c r="K8" s="215">
        <f t="shared" si="5"/>
        <v>0</v>
      </c>
      <c r="L8" s="215">
        <f t="shared" si="5"/>
        <v>0</v>
      </c>
      <c r="M8" s="215">
        <f t="shared" si="5"/>
        <v>0</v>
      </c>
      <c r="N8">
        <f t="shared" si="0"/>
        <v>172.19534050179209</v>
      </c>
    </row>
    <row r="9" spans="1:29" ht="29" x14ac:dyDescent="0.35">
      <c r="A9" s="209" t="s">
        <v>459</v>
      </c>
      <c r="B9" s="216">
        <f t="shared" ref="B9:M9" si="6">B10/3</f>
        <v>18133.333333333332</v>
      </c>
      <c r="C9" s="216">
        <f t="shared" si="6"/>
        <v>16366.666666666666</v>
      </c>
      <c r="D9" s="216">
        <f t="shared" si="6"/>
        <v>14900</v>
      </c>
      <c r="E9" s="216">
        <f t="shared" si="6"/>
        <v>9366.6666666666661</v>
      </c>
      <c r="F9" s="216">
        <f t="shared" si="6"/>
        <v>3233.3333333333335</v>
      </c>
      <c r="G9" s="216">
        <f t="shared" si="6"/>
        <v>0</v>
      </c>
      <c r="H9" s="216">
        <f t="shared" si="6"/>
        <v>0</v>
      </c>
      <c r="I9" s="216">
        <f t="shared" si="6"/>
        <v>0</v>
      </c>
      <c r="J9" s="216">
        <f t="shared" si="6"/>
        <v>0</v>
      </c>
      <c r="K9" s="216">
        <f t="shared" si="6"/>
        <v>4466.666666666667</v>
      </c>
      <c r="L9" s="216">
        <f t="shared" si="6"/>
        <v>11766.666666666666</v>
      </c>
      <c r="M9" s="216">
        <f t="shared" si="6"/>
        <v>16866.666666666668</v>
      </c>
      <c r="N9">
        <f t="shared" si="0"/>
        <v>95100.000000000015</v>
      </c>
    </row>
    <row r="10" spans="1:29" x14ac:dyDescent="0.35">
      <c r="A10" s="210" t="s">
        <v>460</v>
      </c>
      <c r="B10" s="217">
        <v>54400</v>
      </c>
      <c r="C10" s="217">
        <v>49100</v>
      </c>
      <c r="D10" s="217">
        <v>44700</v>
      </c>
      <c r="E10" s="217">
        <v>28100</v>
      </c>
      <c r="F10" s="217">
        <v>9700</v>
      </c>
      <c r="G10" s="217">
        <v>0</v>
      </c>
      <c r="H10" s="217">
        <v>0</v>
      </c>
      <c r="I10" s="217">
        <v>0</v>
      </c>
      <c r="J10" s="217">
        <v>0</v>
      </c>
      <c r="K10" s="217">
        <v>13400</v>
      </c>
      <c r="L10" s="217">
        <v>35300</v>
      </c>
      <c r="M10" s="217">
        <v>50600</v>
      </c>
      <c r="N10">
        <f t="shared" si="0"/>
        <v>285300</v>
      </c>
    </row>
    <row r="11" spans="1:29" ht="29" x14ac:dyDescent="0.35">
      <c r="A11" s="209" t="s">
        <v>461</v>
      </c>
      <c r="B11" s="216">
        <f t="shared" ref="B11:M11" si="7">(B10/B2)/24</f>
        <v>73.118279569892465</v>
      </c>
      <c r="C11" s="216">
        <f t="shared" si="7"/>
        <v>73.06547619047619</v>
      </c>
      <c r="D11" s="216">
        <f t="shared" si="7"/>
        <v>60.080645161290327</v>
      </c>
      <c r="E11" s="216">
        <f t="shared" si="7"/>
        <v>39.027777777777779</v>
      </c>
      <c r="F11" s="216">
        <f t="shared" si="7"/>
        <v>13.03763440860215</v>
      </c>
      <c r="G11" s="216">
        <f t="shared" si="7"/>
        <v>0</v>
      </c>
      <c r="H11" s="216">
        <f t="shared" si="7"/>
        <v>0</v>
      </c>
      <c r="I11" s="216">
        <f t="shared" si="7"/>
        <v>0</v>
      </c>
      <c r="J11" s="216">
        <f t="shared" si="7"/>
        <v>0</v>
      </c>
      <c r="K11" s="216">
        <f t="shared" si="7"/>
        <v>18.010752688172044</v>
      </c>
      <c r="L11" s="216">
        <f t="shared" si="7"/>
        <v>49.027777777777779</v>
      </c>
      <c r="M11" s="216">
        <f t="shared" si="7"/>
        <v>68.010752688172047</v>
      </c>
      <c r="N11">
        <f t="shared" si="0"/>
        <v>393.37909626216077</v>
      </c>
    </row>
    <row r="12" spans="1:29" x14ac:dyDescent="0.35">
      <c r="A12" s="210" t="s">
        <v>462</v>
      </c>
      <c r="B12" s="218">
        <v>0</v>
      </c>
      <c r="C12" s="218">
        <v>0</v>
      </c>
      <c r="D12" s="218">
        <v>0</v>
      </c>
      <c r="E12" s="218">
        <v>0</v>
      </c>
      <c r="F12" s="218">
        <v>0</v>
      </c>
      <c r="G12" s="218">
        <v>8000</v>
      </c>
      <c r="H12" s="218">
        <v>20100</v>
      </c>
      <c r="I12" s="218">
        <v>17200</v>
      </c>
      <c r="J12" s="218">
        <v>5100</v>
      </c>
      <c r="K12" s="218">
        <v>0</v>
      </c>
      <c r="L12" s="218">
        <v>0</v>
      </c>
      <c r="M12" s="218">
        <v>0</v>
      </c>
      <c r="N12">
        <f t="shared" si="0"/>
        <v>50400</v>
      </c>
    </row>
    <row r="13" spans="1:29" x14ac:dyDescent="0.35">
      <c r="N13">
        <f t="shared" si="0"/>
        <v>0</v>
      </c>
    </row>
    <row r="14" spans="1:29" x14ac:dyDescent="0.35">
      <c r="A14" s="211" t="s">
        <v>463</v>
      </c>
      <c r="B14" s="249">
        <f>B5+B10</f>
        <v>109500</v>
      </c>
      <c r="C14" s="219">
        <f t="shared" ref="C14:M14" si="8">C5+C10</f>
        <v>98900</v>
      </c>
      <c r="D14" s="219">
        <f t="shared" si="8"/>
        <v>87200</v>
      </c>
      <c r="E14" s="219">
        <f t="shared" si="8"/>
        <v>49700</v>
      </c>
      <c r="F14" s="219">
        <f t="shared" si="8"/>
        <v>9700</v>
      </c>
      <c r="G14" s="219">
        <f t="shared" si="8"/>
        <v>0</v>
      </c>
      <c r="H14" s="219">
        <f t="shared" si="8"/>
        <v>0</v>
      </c>
      <c r="I14" s="219">
        <f t="shared" si="8"/>
        <v>0</v>
      </c>
      <c r="J14" s="219">
        <f t="shared" si="8"/>
        <v>0</v>
      </c>
      <c r="K14" s="219">
        <f t="shared" si="8"/>
        <v>16400</v>
      </c>
      <c r="L14" s="219">
        <f t="shared" si="8"/>
        <v>67000</v>
      </c>
      <c r="M14" s="219">
        <f t="shared" si="8"/>
        <v>101200</v>
      </c>
      <c r="N14">
        <f t="shared" si="0"/>
        <v>539600</v>
      </c>
    </row>
    <row r="15" spans="1:29" x14ac:dyDescent="0.35">
      <c r="A15" s="212" t="s">
        <v>464</v>
      </c>
      <c r="B15" s="220">
        <f t="shared" ref="B15:M15" si="9">B6+B12</f>
        <v>0</v>
      </c>
      <c r="C15" s="220">
        <f t="shared" si="9"/>
        <v>0</v>
      </c>
      <c r="D15" s="220">
        <f t="shared" si="9"/>
        <v>0</v>
      </c>
      <c r="E15" s="220">
        <f t="shared" si="9"/>
        <v>0</v>
      </c>
      <c r="F15" s="220">
        <f t="shared" si="9"/>
        <v>3000</v>
      </c>
      <c r="G15" s="220">
        <f t="shared" si="9"/>
        <v>32500</v>
      </c>
      <c r="H15" s="220">
        <f t="shared" si="9"/>
        <v>61100</v>
      </c>
      <c r="I15" s="220">
        <f t="shared" si="9"/>
        <v>54400</v>
      </c>
      <c r="J15" s="220">
        <f t="shared" si="9"/>
        <v>26000</v>
      </c>
      <c r="K15" s="220">
        <f t="shared" si="9"/>
        <v>0</v>
      </c>
      <c r="L15" s="220">
        <f t="shared" si="9"/>
        <v>0</v>
      </c>
      <c r="M15" s="220">
        <f t="shared" si="9"/>
        <v>0</v>
      </c>
      <c r="N15">
        <f t="shared" si="0"/>
        <v>177000</v>
      </c>
    </row>
    <row r="17" spans="1:4" ht="43.5" x14ac:dyDescent="0.35">
      <c r="A17" s="224" t="s">
        <v>465</v>
      </c>
      <c r="B17" s="224" t="s">
        <v>415</v>
      </c>
      <c r="C17" s="224" t="s">
        <v>416</v>
      </c>
      <c r="D17" s="1" t="s">
        <v>417</v>
      </c>
    </row>
    <row r="18" spans="1:4" x14ac:dyDescent="0.35">
      <c r="A18" s="156" t="s">
        <v>466</v>
      </c>
      <c r="B18" s="156">
        <f>SUM(B19:B24)</f>
        <v>381</v>
      </c>
      <c r="C18" s="173">
        <f>SUM(C19:C24)</f>
        <v>15.875</v>
      </c>
      <c r="D18" s="156">
        <f>SUM(D19:D24)</f>
        <v>142.87</v>
      </c>
    </row>
    <row r="19" spans="1:4" x14ac:dyDescent="0.35">
      <c r="A19" t="s">
        <v>467</v>
      </c>
      <c r="B19">
        <v>82</v>
      </c>
      <c r="C19" s="4">
        <f>B19/24</f>
        <v>3.4166666666666665</v>
      </c>
      <c r="D19">
        <v>11</v>
      </c>
    </row>
    <row r="20" spans="1:4" x14ac:dyDescent="0.35">
      <c r="A20" t="s">
        <v>468</v>
      </c>
      <c r="B20">
        <v>117</v>
      </c>
      <c r="C20" s="4">
        <f t="shared" ref="C20:C24" si="10">B20/24</f>
        <v>4.875</v>
      </c>
      <c r="D20">
        <v>22</v>
      </c>
    </row>
    <row r="21" spans="1:4" x14ac:dyDescent="0.35">
      <c r="A21" t="s">
        <v>469</v>
      </c>
      <c r="B21">
        <v>29</v>
      </c>
      <c r="C21" s="4">
        <f t="shared" si="10"/>
        <v>1.2083333333333333</v>
      </c>
      <c r="D21">
        <v>5.5</v>
      </c>
    </row>
    <row r="22" spans="1:4" x14ac:dyDescent="0.35">
      <c r="A22" t="s">
        <v>470</v>
      </c>
      <c r="B22">
        <v>111</v>
      </c>
      <c r="C22" s="4">
        <f t="shared" si="10"/>
        <v>4.625</v>
      </c>
      <c r="D22">
        <v>29</v>
      </c>
    </row>
    <row r="23" spans="1:4" x14ac:dyDescent="0.35">
      <c r="A23" t="s">
        <v>471</v>
      </c>
      <c r="B23">
        <v>41</v>
      </c>
      <c r="C23" s="4">
        <f t="shared" si="10"/>
        <v>1.7083333333333333</v>
      </c>
      <c r="D23">
        <f>68.48+6.74</f>
        <v>75.22</v>
      </c>
    </row>
    <row r="24" spans="1:4" x14ac:dyDescent="0.35">
      <c r="A24" t="s">
        <v>472</v>
      </c>
      <c r="B24">
        <v>1</v>
      </c>
      <c r="C24" s="4">
        <f t="shared" si="10"/>
        <v>4.1666666666666664E-2</v>
      </c>
      <c r="D24">
        <v>0.15</v>
      </c>
    </row>
    <row r="25" spans="1:4" x14ac:dyDescent="0.35">
      <c r="A25" s="156" t="s">
        <v>466</v>
      </c>
      <c r="B25" s="156">
        <f>SUM(B26:B31)</f>
        <v>381</v>
      </c>
      <c r="C25" s="173">
        <f>SUM(C26:C31)</f>
        <v>15.875</v>
      </c>
      <c r="D25" s="156">
        <f>SUM(D26:D31)</f>
        <v>142.87</v>
      </c>
    </row>
    <row r="26" spans="1:4" x14ac:dyDescent="0.35">
      <c r="A26" t="s">
        <v>473</v>
      </c>
      <c r="B26">
        <v>82</v>
      </c>
      <c r="C26" s="4">
        <f>B26/24</f>
        <v>3.4166666666666665</v>
      </c>
      <c r="D26">
        <v>11</v>
      </c>
    </row>
    <row r="27" spans="1:4" x14ac:dyDescent="0.35">
      <c r="A27" t="s">
        <v>474</v>
      </c>
      <c r="B27">
        <v>117</v>
      </c>
      <c r="C27" s="4">
        <f t="shared" ref="C27:C31" si="11">B27/24</f>
        <v>4.875</v>
      </c>
      <c r="D27">
        <v>22</v>
      </c>
    </row>
    <row r="28" spans="1:4" x14ac:dyDescent="0.35">
      <c r="A28" t="s">
        <v>475</v>
      </c>
      <c r="B28">
        <v>29</v>
      </c>
      <c r="C28" s="4">
        <f t="shared" si="11"/>
        <v>1.2083333333333333</v>
      </c>
      <c r="D28">
        <v>5.5</v>
      </c>
    </row>
    <row r="29" spans="1:4" x14ac:dyDescent="0.35">
      <c r="A29" t="s">
        <v>476</v>
      </c>
      <c r="B29">
        <v>111</v>
      </c>
      <c r="C29" s="4">
        <f t="shared" si="11"/>
        <v>4.625</v>
      </c>
      <c r="D29">
        <v>29</v>
      </c>
    </row>
    <row r="30" spans="1:4" x14ac:dyDescent="0.35">
      <c r="A30" t="s">
        <v>477</v>
      </c>
      <c r="B30">
        <v>41</v>
      </c>
      <c r="C30" s="4">
        <f t="shared" si="11"/>
        <v>1.7083333333333333</v>
      </c>
      <c r="D30">
        <f>68.48+6.74</f>
        <v>75.22</v>
      </c>
    </row>
    <row r="31" spans="1:4" x14ac:dyDescent="0.35">
      <c r="A31" t="s">
        <v>478</v>
      </c>
      <c r="B31">
        <v>1</v>
      </c>
      <c r="C31" s="4">
        <f t="shared" si="11"/>
        <v>4.1666666666666664E-2</v>
      </c>
      <c r="D31">
        <v>0.15</v>
      </c>
    </row>
    <row r="32" spans="1:4" x14ac:dyDescent="0.35">
      <c r="A32" s="174" t="s">
        <v>479</v>
      </c>
      <c r="B32" s="156">
        <f>SUM(B33:B40)</f>
        <v>266</v>
      </c>
      <c r="C32" s="173">
        <f>SUM(C33:C40)</f>
        <v>11.083333333333334</v>
      </c>
      <c r="D32" s="156">
        <f>SUM(D33:D40)</f>
        <v>66.850000000000009</v>
      </c>
    </row>
    <row r="33" spans="1:4" x14ac:dyDescent="0.35">
      <c r="A33" t="s">
        <v>480</v>
      </c>
      <c r="B33">
        <v>34</v>
      </c>
      <c r="C33" s="4">
        <f>B33/24</f>
        <v>1.4166666666666667</v>
      </c>
      <c r="D33">
        <v>7.5</v>
      </c>
    </row>
    <row r="34" spans="1:4" x14ac:dyDescent="0.35">
      <c r="A34" t="s">
        <v>481</v>
      </c>
      <c r="B34">
        <v>10</v>
      </c>
      <c r="C34" s="4">
        <f t="shared" ref="C34:C40" si="12">B34/24</f>
        <v>0.41666666666666669</v>
      </c>
      <c r="D34">
        <v>3</v>
      </c>
    </row>
    <row r="35" spans="1:4" x14ac:dyDescent="0.35">
      <c r="A35" t="s">
        <v>482</v>
      </c>
      <c r="B35">
        <v>13</v>
      </c>
      <c r="C35" s="4">
        <f t="shared" si="12"/>
        <v>0.54166666666666663</v>
      </c>
      <c r="D35">
        <v>4</v>
      </c>
    </row>
    <row r="36" spans="1:4" x14ac:dyDescent="0.35">
      <c r="A36" t="s">
        <v>483</v>
      </c>
      <c r="B36">
        <v>68</v>
      </c>
      <c r="C36" s="4">
        <f t="shared" si="12"/>
        <v>2.8333333333333335</v>
      </c>
      <c r="D36">
        <v>15</v>
      </c>
    </row>
    <row r="37" spans="1:4" x14ac:dyDescent="0.35">
      <c r="A37" t="s">
        <v>484</v>
      </c>
      <c r="B37">
        <v>68</v>
      </c>
      <c r="C37" s="4">
        <f t="shared" si="12"/>
        <v>2.8333333333333335</v>
      </c>
      <c r="D37">
        <v>15</v>
      </c>
    </row>
    <row r="38" spans="1:4" x14ac:dyDescent="0.35">
      <c r="A38" t="s">
        <v>485</v>
      </c>
      <c r="B38">
        <v>7</v>
      </c>
      <c r="C38" s="4">
        <f t="shared" si="12"/>
        <v>0.29166666666666669</v>
      </c>
      <c r="D38">
        <v>2.2000000000000002</v>
      </c>
    </row>
    <row r="39" spans="1:4" x14ac:dyDescent="0.35">
      <c r="A39" t="s">
        <v>486</v>
      </c>
      <c r="B39">
        <v>65</v>
      </c>
      <c r="C39" s="4">
        <f t="shared" si="12"/>
        <v>2.7083333333333335</v>
      </c>
      <c r="D39">
        <v>20</v>
      </c>
    </row>
    <row r="40" spans="1:4" x14ac:dyDescent="0.35">
      <c r="A40" t="s">
        <v>487</v>
      </c>
      <c r="B40">
        <v>1</v>
      </c>
      <c r="C40" s="4">
        <f t="shared" si="12"/>
        <v>4.1666666666666664E-2</v>
      </c>
      <c r="D40">
        <v>0.15</v>
      </c>
    </row>
    <row r="41" spans="1:4" x14ac:dyDescent="0.35">
      <c r="A41" s="156" t="s">
        <v>488</v>
      </c>
      <c r="B41" s="156">
        <f>SUM(B42:B51)</f>
        <v>983.1</v>
      </c>
      <c r="C41" s="173">
        <f>SUM(C42:C51)</f>
        <v>40.962500000000006</v>
      </c>
      <c r="D41" s="156">
        <f>SUM(D42:D51)</f>
        <v>125.35000000000001</v>
      </c>
    </row>
    <row r="42" spans="1:4" x14ac:dyDescent="0.35">
      <c r="A42" t="s">
        <v>489</v>
      </c>
      <c r="B42">
        <v>120</v>
      </c>
      <c r="C42" s="4">
        <f>B42/24</f>
        <v>5</v>
      </c>
      <c r="D42">
        <v>15</v>
      </c>
    </row>
    <row r="43" spans="1:4" x14ac:dyDescent="0.35">
      <c r="A43" t="s">
        <v>490</v>
      </c>
      <c r="B43">
        <v>120</v>
      </c>
      <c r="C43" s="4">
        <f t="shared" ref="C43:C51" si="13">B43/24</f>
        <v>5</v>
      </c>
      <c r="D43">
        <v>15</v>
      </c>
    </row>
    <row r="44" spans="1:4" x14ac:dyDescent="0.35">
      <c r="A44" t="s">
        <v>491</v>
      </c>
      <c r="B44">
        <v>120</v>
      </c>
      <c r="C44" s="4">
        <f t="shared" si="13"/>
        <v>5</v>
      </c>
      <c r="D44">
        <v>15</v>
      </c>
    </row>
    <row r="45" spans="1:4" x14ac:dyDescent="0.35">
      <c r="A45" t="s">
        <v>492</v>
      </c>
      <c r="B45">
        <v>120</v>
      </c>
      <c r="C45" s="4">
        <f t="shared" si="13"/>
        <v>5</v>
      </c>
      <c r="D45">
        <v>15</v>
      </c>
    </row>
    <row r="46" spans="1:4" x14ac:dyDescent="0.35">
      <c r="A46" t="s">
        <v>493</v>
      </c>
      <c r="B46">
        <v>120</v>
      </c>
      <c r="C46" s="4">
        <f t="shared" si="13"/>
        <v>5</v>
      </c>
      <c r="D46">
        <v>15</v>
      </c>
    </row>
    <row r="47" spans="1:4" x14ac:dyDescent="0.35">
      <c r="A47" t="s">
        <v>494</v>
      </c>
      <c r="B47">
        <v>120</v>
      </c>
      <c r="C47" s="4">
        <f t="shared" si="13"/>
        <v>5</v>
      </c>
      <c r="D47">
        <v>15</v>
      </c>
    </row>
    <row r="48" spans="1:4" x14ac:dyDescent="0.35">
      <c r="A48" t="s">
        <v>495</v>
      </c>
      <c r="B48">
        <v>120</v>
      </c>
      <c r="C48" s="4">
        <f t="shared" si="13"/>
        <v>5</v>
      </c>
      <c r="D48">
        <v>15</v>
      </c>
    </row>
    <row r="49" spans="1:4" x14ac:dyDescent="0.35">
      <c r="A49" t="s">
        <v>496</v>
      </c>
      <c r="B49">
        <v>0.1</v>
      </c>
      <c r="C49" s="4">
        <f t="shared" si="13"/>
        <v>4.1666666666666666E-3</v>
      </c>
      <c r="D49">
        <v>0.15</v>
      </c>
    </row>
    <row r="50" spans="1:4" x14ac:dyDescent="0.35">
      <c r="A50" t="s">
        <v>497</v>
      </c>
      <c r="B50">
        <v>77</v>
      </c>
      <c r="C50" s="4">
        <f t="shared" si="13"/>
        <v>3.2083333333333335</v>
      </c>
      <c r="D50">
        <v>9.1999999999999993</v>
      </c>
    </row>
    <row r="51" spans="1:4" x14ac:dyDescent="0.35">
      <c r="A51" t="s">
        <v>498</v>
      </c>
      <c r="B51">
        <v>66</v>
      </c>
      <c r="C51" s="4">
        <f t="shared" si="13"/>
        <v>2.75</v>
      </c>
      <c r="D51">
        <v>11</v>
      </c>
    </row>
    <row r="52" spans="1:4" x14ac:dyDescent="0.35">
      <c r="A52" s="156" t="s">
        <v>499</v>
      </c>
      <c r="B52" s="156">
        <f>SUM(B53:B62)</f>
        <v>983.1</v>
      </c>
      <c r="C52" s="173">
        <f>SUM(C53:C62)</f>
        <v>40.962500000000006</v>
      </c>
      <c r="D52" s="156">
        <f>SUM(D53:D62)</f>
        <v>125.35000000000001</v>
      </c>
    </row>
    <row r="53" spans="1:4" x14ac:dyDescent="0.35">
      <c r="A53" t="s">
        <v>500</v>
      </c>
      <c r="B53">
        <v>120</v>
      </c>
      <c r="C53" s="4">
        <f>B53/24</f>
        <v>5</v>
      </c>
      <c r="D53">
        <v>15</v>
      </c>
    </row>
    <row r="54" spans="1:4" x14ac:dyDescent="0.35">
      <c r="A54" t="s">
        <v>501</v>
      </c>
      <c r="B54">
        <v>120</v>
      </c>
      <c r="C54" s="4">
        <f t="shared" ref="C54:C62" si="14">B54/24</f>
        <v>5</v>
      </c>
      <c r="D54">
        <v>15</v>
      </c>
    </row>
    <row r="55" spans="1:4" x14ac:dyDescent="0.35">
      <c r="A55" t="s">
        <v>502</v>
      </c>
      <c r="B55">
        <v>120</v>
      </c>
      <c r="C55" s="4">
        <f t="shared" si="14"/>
        <v>5</v>
      </c>
      <c r="D55">
        <v>15</v>
      </c>
    </row>
    <row r="56" spans="1:4" x14ac:dyDescent="0.35">
      <c r="A56" t="s">
        <v>503</v>
      </c>
      <c r="B56">
        <v>120</v>
      </c>
      <c r="C56" s="4">
        <f t="shared" si="14"/>
        <v>5</v>
      </c>
      <c r="D56">
        <v>15</v>
      </c>
    </row>
    <row r="57" spans="1:4" x14ac:dyDescent="0.35">
      <c r="A57" t="s">
        <v>504</v>
      </c>
      <c r="B57">
        <v>120</v>
      </c>
      <c r="C57" s="4">
        <f t="shared" si="14"/>
        <v>5</v>
      </c>
      <c r="D57">
        <v>15</v>
      </c>
    </row>
    <row r="58" spans="1:4" x14ac:dyDescent="0.35">
      <c r="A58" t="s">
        <v>505</v>
      </c>
      <c r="B58">
        <v>120</v>
      </c>
      <c r="C58" s="4">
        <f t="shared" si="14"/>
        <v>5</v>
      </c>
      <c r="D58">
        <v>15</v>
      </c>
    </row>
    <row r="59" spans="1:4" x14ac:dyDescent="0.35">
      <c r="A59" t="s">
        <v>506</v>
      </c>
      <c r="B59">
        <v>120</v>
      </c>
      <c r="C59" s="4">
        <f t="shared" si="14"/>
        <v>5</v>
      </c>
      <c r="D59">
        <v>15</v>
      </c>
    </row>
    <row r="60" spans="1:4" x14ac:dyDescent="0.35">
      <c r="A60" t="s">
        <v>496</v>
      </c>
      <c r="B60">
        <v>0.1</v>
      </c>
      <c r="C60" s="4">
        <f t="shared" si="14"/>
        <v>4.1666666666666666E-3</v>
      </c>
      <c r="D60">
        <v>0.15</v>
      </c>
    </row>
    <row r="61" spans="1:4" x14ac:dyDescent="0.35">
      <c r="A61" t="s">
        <v>507</v>
      </c>
      <c r="B61">
        <v>77</v>
      </c>
      <c r="C61" s="4">
        <f t="shared" si="14"/>
        <v>3.2083333333333335</v>
      </c>
      <c r="D61">
        <v>9.1999999999999993</v>
      </c>
    </row>
    <row r="62" spans="1:4" x14ac:dyDescent="0.35">
      <c r="A62" t="s">
        <v>508</v>
      </c>
      <c r="B62">
        <v>66</v>
      </c>
      <c r="C62" s="4">
        <f t="shared" si="14"/>
        <v>2.75</v>
      </c>
      <c r="D62">
        <v>11</v>
      </c>
    </row>
    <row r="63" spans="1:4" x14ac:dyDescent="0.35">
      <c r="A63" s="156" t="s">
        <v>509</v>
      </c>
      <c r="B63" s="156">
        <f>SUM(B64:B72)</f>
        <v>945.1</v>
      </c>
      <c r="C63" s="173">
        <f>SUM(C64:C72)</f>
        <v>39.379166666666663</v>
      </c>
      <c r="D63" s="156">
        <f>SUM(D64:D72)</f>
        <v>93.850000000000009</v>
      </c>
    </row>
    <row r="64" spans="1:4" x14ac:dyDescent="0.35">
      <c r="A64" t="s">
        <v>510</v>
      </c>
      <c r="B64">
        <v>176</v>
      </c>
      <c r="C64" s="4">
        <f>B64/24</f>
        <v>7.333333333333333</v>
      </c>
      <c r="D64">
        <v>15</v>
      </c>
    </row>
    <row r="65" spans="1:4" x14ac:dyDescent="0.35">
      <c r="A65" t="s">
        <v>511</v>
      </c>
      <c r="B65">
        <v>176</v>
      </c>
      <c r="C65" s="4">
        <f t="shared" ref="C65:C72" si="15">B65/24</f>
        <v>7.333333333333333</v>
      </c>
      <c r="D65">
        <v>15</v>
      </c>
    </row>
    <row r="66" spans="1:4" x14ac:dyDescent="0.35">
      <c r="A66" t="s">
        <v>512</v>
      </c>
      <c r="B66">
        <v>176</v>
      </c>
      <c r="C66" s="4">
        <f t="shared" si="15"/>
        <v>7.333333333333333</v>
      </c>
      <c r="D66">
        <v>15</v>
      </c>
    </row>
    <row r="67" spans="1:4" x14ac:dyDescent="0.35">
      <c r="A67" t="s">
        <v>513</v>
      </c>
      <c r="B67">
        <v>176</v>
      </c>
      <c r="C67" s="4">
        <f t="shared" si="15"/>
        <v>7.333333333333333</v>
      </c>
      <c r="D67">
        <v>15</v>
      </c>
    </row>
    <row r="68" spans="1:4" x14ac:dyDescent="0.35">
      <c r="A68" t="s">
        <v>496</v>
      </c>
      <c r="B68">
        <v>0.1</v>
      </c>
      <c r="C68" s="4">
        <f t="shared" si="15"/>
        <v>4.1666666666666666E-3</v>
      </c>
      <c r="D68">
        <v>0.15</v>
      </c>
    </row>
    <row r="69" spans="1:4" x14ac:dyDescent="0.35">
      <c r="A69" s="225" t="s">
        <v>514</v>
      </c>
      <c r="B69">
        <v>130</v>
      </c>
      <c r="C69" s="4">
        <f t="shared" si="15"/>
        <v>5.416666666666667</v>
      </c>
      <c r="D69">
        <v>18.5</v>
      </c>
    </row>
    <row r="70" spans="1:4" x14ac:dyDescent="0.35">
      <c r="A70" s="225" t="s">
        <v>515</v>
      </c>
      <c r="B70">
        <v>51</v>
      </c>
      <c r="C70" s="4">
        <f t="shared" si="15"/>
        <v>2.125</v>
      </c>
      <c r="D70">
        <v>10.199999999999999</v>
      </c>
    </row>
    <row r="71" spans="1:4" x14ac:dyDescent="0.35">
      <c r="A71" t="s">
        <v>516</v>
      </c>
      <c r="B71">
        <v>30</v>
      </c>
      <c r="C71" s="4">
        <f t="shared" si="15"/>
        <v>1.25</v>
      </c>
      <c r="D71">
        <v>2.5</v>
      </c>
    </row>
    <row r="72" spans="1:4" x14ac:dyDescent="0.35">
      <c r="A72" t="s">
        <v>517</v>
      </c>
      <c r="B72">
        <v>30</v>
      </c>
      <c r="C72" s="4">
        <f t="shared" si="15"/>
        <v>1.25</v>
      </c>
      <c r="D72">
        <v>2.5</v>
      </c>
    </row>
    <row r="73" spans="1:4" x14ac:dyDescent="0.35">
      <c r="A73" s="156" t="s">
        <v>518</v>
      </c>
      <c r="B73" s="156">
        <f>SUM(B74:B82)</f>
        <v>945.1</v>
      </c>
      <c r="C73" s="173">
        <f>SUM(C74:C82)</f>
        <v>39.379166666666663</v>
      </c>
      <c r="D73" s="156">
        <f>SUM(D74:D82)</f>
        <v>93.850000000000009</v>
      </c>
    </row>
    <row r="74" spans="1:4" x14ac:dyDescent="0.35">
      <c r="A74" t="s">
        <v>510</v>
      </c>
      <c r="B74">
        <v>176</v>
      </c>
      <c r="C74" s="4">
        <f>B74/24</f>
        <v>7.333333333333333</v>
      </c>
      <c r="D74">
        <v>15</v>
      </c>
    </row>
    <row r="75" spans="1:4" x14ac:dyDescent="0.35">
      <c r="A75" t="s">
        <v>511</v>
      </c>
      <c r="B75">
        <v>176</v>
      </c>
      <c r="C75" s="4">
        <f t="shared" ref="C75:C82" si="16">B75/24</f>
        <v>7.333333333333333</v>
      </c>
      <c r="D75">
        <v>15</v>
      </c>
    </row>
    <row r="76" spans="1:4" x14ac:dyDescent="0.35">
      <c r="A76" t="s">
        <v>512</v>
      </c>
      <c r="B76">
        <v>176</v>
      </c>
      <c r="C76" s="4">
        <f t="shared" si="16"/>
        <v>7.333333333333333</v>
      </c>
      <c r="D76">
        <v>15</v>
      </c>
    </row>
    <row r="77" spans="1:4" x14ac:dyDescent="0.35">
      <c r="A77" t="s">
        <v>513</v>
      </c>
      <c r="B77">
        <v>176</v>
      </c>
      <c r="C77" s="4">
        <f t="shared" si="16"/>
        <v>7.333333333333333</v>
      </c>
      <c r="D77">
        <v>15</v>
      </c>
    </row>
    <row r="78" spans="1:4" x14ac:dyDescent="0.35">
      <c r="A78" t="s">
        <v>496</v>
      </c>
      <c r="B78">
        <v>0.1</v>
      </c>
      <c r="C78" s="4">
        <f t="shared" si="16"/>
        <v>4.1666666666666666E-3</v>
      </c>
      <c r="D78">
        <v>0.15</v>
      </c>
    </row>
    <row r="79" spans="1:4" x14ac:dyDescent="0.35">
      <c r="A79" s="225" t="s">
        <v>514</v>
      </c>
      <c r="B79">
        <v>130</v>
      </c>
      <c r="C79" s="4">
        <f t="shared" si="16"/>
        <v>5.416666666666667</v>
      </c>
      <c r="D79">
        <v>18.5</v>
      </c>
    </row>
    <row r="80" spans="1:4" x14ac:dyDescent="0.35">
      <c r="A80" s="225" t="s">
        <v>515</v>
      </c>
      <c r="B80">
        <v>51</v>
      </c>
      <c r="C80" s="4">
        <f t="shared" si="16"/>
        <v>2.125</v>
      </c>
      <c r="D80">
        <v>10.199999999999999</v>
      </c>
    </row>
    <row r="81" spans="1:4" x14ac:dyDescent="0.35">
      <c r="A81" t="s">
        <v>516</v>
      </c>
      <c r="B81">
        <v>30</v>
      </c>
      <c r="C81" s="4">
        <f t="shared" si="16"/>
        <v>1.25</v>
      </c>
      <c r="D81">
        <v>2.5</v>
      </c>
    </row>
    <row r="82" spans="1:4" x14ac:dyDescent="0.35">
      <c r="A82" t="s">
        <v>517</v>
      </c>
      <c r="B82">
        <v>30</v>
      </c>
      <c r="C82" s="4">
        <f t="shared" si="16"/>
        <v>1.25</v>
      </c>
      <c r="D82">
        <v>2.5</v>
      </c>
    </row>
    <row r="83" spans="1:4" x14ac:dyDescent="0.35">
      <c r="A83" s="156" t="s">
        <v>519</v>
      </c>
      <c r="B83" s="173">
        <f>SUM(B84:B90)</f>
        <v>764.1</v>
      </c>
      <c r="C83" s="173">
        <f t="shared" ref="C83:D83" si="17">SUM(C84:C90)</f>
        <v>31.837499999999999</v>
      </c>
      <c r="D83" s="173">
        <f t="shared" si="17"/>
        <v>65.150000000000006</v>
      </c>
    </row>
    <row r="84" spans="1:4" x14ac:dyDescent="0.35">
      <c r="A84" t="s">
        <v>510</v>
      </c>
      <c r="B84">
        <v>176</v>
      </c>
      <c r="C84" s="4">
        <f>B84/24</f>
        <v>7.333333333333333</v>
      </c>
      <c r="D84">
        <v>15</v>
      </c>
    </row>
    <row r="85" spans="1:4" x14ac:dyDescent="0.35">
      <c r="A85" t="s">
        <v>511</v>
      </c>
      <c r="B85">
        <v>176</v>
      </c>
      <c r="C85" s="4">
        <f t="shared" ref="C85:C90" si="18">B85/24</f>
        <v>7.333333333333333</v>
      </c>
      <c r="D85">
        <v>15</v>
      </c>
    </row>
    <row r="86" spans="1:4" x14ac:dyDescent="0.35">
      <c r="A86" t="s">
        <v>512</v>
      </c>
      <c r="B86">
        <v>176</v>
      </c>
      <c r="C86" s="4">
        <f t="shared" si="18"/>
        <v>7.333333333333333</v>
      </c>
      <c r="D86">
        <v>15</v>
      </c>
    </row>
    <row r="87" spans="1:4" x14ac:dyDescent="0.35">
      <c r="A87" t="s">
        <v>513</v>
      </c>
      <c r="B87">
        <v>176</v>
      </c>
      <c r="C87" s="4">
        <f t="shared" si="18"/>
        <v>7.333333333333333</v>
      </c>
      <c r="D87">
        <v>15</v>
      </c>
    </row>
    <row r="88" spans="1:4" x14ac:dyDescent="0.35">
      <c r="A88" t="s">
        <v>496</v>
      </c>
      <c r="B88">
        <v>0.1</v>
      </c>
      <c r="C88" s="4">
        <f t="shared" si="18"/>
        <v>4.1666666666666666E-3</v>
      </c>
      <c r="D88">
        <v>0.15</v>
      </c>
    </row>
    <row r="89" spans="1:4" x14ac:dyDescent="0.35">
      <c r="A89" t="s">
        <v>516</v>
      </c>
      <c r="B89">
        <v>30</v>
      </c>
      <c r="C89" s="4">
        <f t="shared" si="18"/>
        <v>1.25</v>
      </c>
      <c r="D89">
        <v>2.5</v>
      </c>
    </row>
    <row r="90" spans="1:4" x14ac:dyDescent="0.35">
      <c r="A90" t="s">
        <v>517</v>
      </c>
      <c r="B90">
        <v>30</v>
      </c>
      <c r="C90" s="4">
        <f t="shared" si="18"/>
        <v>1.25</v>
      </c>
      <c r="D90">
        <v>2.5</v>
      </c>
    </row>
    <row r="91" spans="1:4" x14ac:dyDescent="0.35">
      <c r="A91" s="156" t="s">
        <v>520</v>
      </c>
      <c r="B91" s="156">
        <f>SUM(B92:B93)</f>
        <v>228</v>
      </c>
      <c r="C91" s="156">
        <f t="shared" ref="C91:D91" si="19">SUM(C92:C93)</f>
        <v>9.5</v>
      </c>
      <c r="D91" s="156">
        <f t="shared" si="19"/>
        <v>37</v>
      </c>
    </row>
    <row r="92" spans="1:4" x14ac:dyDescent="0.35">
      <c r="A92" t="s">
        <v>521</v>
      </c>
      <c r="B92">
        <v>96</v>
      </c>
      <c r="C92" s="4">
        <f>B92/24</f>
        <v>4</v>
      </c>
      <c r="D92">
        <v>15</v>
      </c>
    </row>
    <row r="93" spans="1:4" x14ac:dyDescent="0.35">
      <c r="A93" t="s">
        <v>419</v>
      </c>
      <c r="B93">
        <v>132</v>
      </c>
      <c r="C93" s="4">
        <f>B93/24</f>
        <v>5.5</v>
      </c>
      <c r="D93">
        <v>22</v>
      </c>
    </row>
    <row r="94" spans="1:4" x14ac:dyDescent="0.35">
      <c r="A94" s="156" t="s">
        <v>420</v>
      </c>
      <c r="B94" s="156">
        <f>SUM(B95:B96)</f>
        <v>228</v>
      </c>
      <c r="C94" s="156">
        <f t="shared" ref="C94:D94" si="20">SUM(C95:C96)</f>
        <v>9.5</v>
      </c>
      <c r="D94" s="156">
        <f t="shared" si="20"/>
        <v>37</v>
      </c>
    </row>
    <row r="95" spans="1:4" x14ac:dyDescent="0.35">
      <c r="A95" t="s">
        <v>521</v>
      </c>
      <c r="B95">
        <v>96</v>
      </c>
      <c r="C95" s="4">
        <f>B95/24</f>
        <v>4</v>
      </c>
      <c r="D95">
        <v>15</v>
      </c>
    </row>
    <row r="96" spans="1:4" x14ac:dyDescent="0.35">
      <c r="A96" t="s">
        <v>419</v>
      </c>
      <c r="B96">
        <v>132</v>
      </c>
      <c r="C96" s="4">
        <f>B96/24</f>
        <v>5.5</v>
      </c>
      <c r="D96">
        <v>22</v>
      </c>
    </row>
    <row r="97" spans="1:5" x14ac:dyDescent="0.35">
      <c r="A97" s="156" t="s">
        <v>522</v>
      </c>
      <c r="B97" s="173">
        <f>SUM(B98:B99)</f>
        <v>20</v>
      </c>
      <c r="C97" s="173">
        <f t="shared" ref="C97:D97" si="21">SUM(C98:C99)</f>
        <v>0.83333333333333337</v>
      </c>
      <c r="D97" s="173">
        <f t="shared" si="21"/>
        <v>12</v>
      </c>
    </row>
    <row r="98" spans="1:5" x14ac:dyDescent="0.35">
      <c r="A98" t="s">
        <v>522</v>
      </c>
      <c r="B98">
        <v>2</v>
      </c>
      <c r="C98" s="4">
        <f>B98/24</f>
        <v>8.3333333333333329E-2</v>
      </c>
      <c r="D98">
        <v>1</v>
      </c>
    </row>
    <row r="99" spans="1:5" x14ac:dyDescent="0.35">
      <c r="A99" t="s">
        <v>523</v>
      </c>
      <c r="B99">
        <v>18</v>
      </c>
      <c r="C99" s="4">
        <f>B99/24</f>
        <v>0.75</v>
      </c>
      <c r="D99">
        <v>11</v>
      </c>
    </row>
    <row r="100" spans="1:5" x14ac:dyDescent="0.35">
      <c r="A100" s="156" t="s">
        <v>524</v>
      </c>
      <c r="B100" s="173">
        <f>SUM(B101:B102)</f>
        <v>116</v>
      </c>
      <c r="C100" s="173">
        <f t="shared" ref="C100:D100" si="22">SUM(C101:C102)</f>
        <v>4.833333333333333</v>
      </c>
      <c r="D100" s="173">
        <f t="shared" si="22"/>
        <v>6</v>
      </c>
    </row>
    <row r="101" spans="1:5" x14ac:dyDescent="0.35">
      <c r="A101" s="225" t="s">
        <v>525</v>
      </c>
      <c r="B101" s="4">
        <v>58</v>
      </c>
      <c r="C101" s="4">
        <f>B101/24</f>
        <v>2.4166666666666665</v>
      </c>
      <c r="D101" s="4">
        <v>3</v>
      </c>
    </row>
    <row r="102" spans="1:5" x14ac:dyDescent="0.35">
      <c r="A102" t="s">
        <v>526</v>
      </c>
      <c r="B102" s="4">
        <v>58</v>
      </c>
      <c r="C102" s="4">
        <f>B102/24</f>
        <v>2.4166666666666665</v>
      </c>
      <c r="D102" s="4">
        <v>3</v>
      </c>
    </row>
    <row r="103" spans="1:5" x14ac:dyDescent="0.35">
      <c r="A103" s="156" t="s">
        <v>527</v>
      </c>
      <c r="B103" s="173">
        <f>SUM(B104)</f>
        <v>5</v>
      </c>
      <c r="C103" s="173">
        <f t="shared" ref="C103:D103" si="23">SUM(C104)</f>
        <v>0.20833333333333334</v>
      </c>
      <c r="D103" s="173">
        <f t="shared" si="23"/>
        <v>0.85</v>
      </c>
    </row>
    <row r="104" spans="1:5" x14ac:dyDescent="0.35">
      <c r="A104" t="s">
        <v>527</v>
      </c>
      <c r="B104" s="4">
        <v>5</v>
      </c>
      <c r="C104" s="4">
        <f>B104/24</f>
        <v>0.20833333333333334</v>
      </c>
      <c r="D104" s="4">
        <v>0.85</v>
      </c>
    </row>
    <row r="105" spans="1:5" x14ac:dyDescent="0.35">
      <c r="A105" s="156" t="s">
        <v>528</v>
      </c>
      <c r="B105" s="173">
        <f>SUM(B106:B117)</f>
        <v>395</v>
      </c>
      <c r="C105" s="173">
        <f t="shared" ref="C105:D105" si="24">SUM(C106:C117)</f>
        <v>16.458333333333336</v>
      </c>
      <c r="D105" s="173">
        <f t="shared" si="24"/>
        <v>32.4</v>
      </c>
    </row>
    <row r="106" spans="1:5" x14ac:dyDescent="0.35">
      <c r="A106" s="47" t="s">
        <v>529</v>
      </c>
      <c r="B106" s="4">
        <v>21</v>
      </c>
      <c r="C106" s="4">
        <f>B106/24</f>
        <v>0.875</v>
      </c>
      <c r="D106" s="4">
        <v>4</v>
      </c>
      <c r="E106" t="s">
        <v>530</v>
      </c>
    </row>
    <row r="107" spans="1:5" x14ac:dyDescent="0.35">
      <c r="A107" s="47" t="s">
        <v>531</v>
      </c>
      <c r="B107" s="4">
        <v>21</v>
      </c>
      <c r="C107" s="4">
        <f t="shared" ref="C107:C117" si="25">B107/24</f>
        <v>0.875</v>
      </c>
      <c r="D107" s="4">
        <v>4</v>
      </c>
    </row>
    <row r="108" spans="1:5" x14ac:dyDescent="0.35">
      <c r="A108" t="s">
        <v>418</v>
      </c>
      <c r="B108" s="4">
        <v>211</v>
      </c>
      <c r="C108" s="4">
        <f t="shared" si="25"/>
        <v>8.7916666666666661</v>
      </c>
      <c r="D108" s="4">
        <v>11</v>
      </c>
    </row>
    <row r="109" spans="1:5" x14ac:dyDescent="0.35">
      <c r="A109" t="s">
        <v>532</v>
      </c>
      <c r="B109" s="4">
        <v>12</v>
      </c>
      <c r="C109" s="4">
        <f t="shared" si="25"/>
        <v>0.5</v>
      </c>
      <c r="D109" s="4">
        <v>1</v>
      </c>
    </row>
    <row r="110" spans="1:5" x14ac:dyDescent="0.35">
      <c r="A110" t="s">
        <v>533</v>
      </c>
      <c r="B110" s="4">
        <v>2</v>
      </c>
      <c r="C110" s="4">
        <f t="shared" si="25"/>
        <v>8.3333333333333329E-2</v>
      </c>
      <c r="D110" s="4">
        <v>0.2</v>
      </c>
    </row>
    <row r="111" spans="1:5" x14ac:dyDescent="0.35">
      <c r="A111" t="s">
        <v>534</v>
      </c>
      <c r="B111" s="4">
        <v>2</v>
      </c>
      <c r="C111" s="4">
        <f t="shared" si="25"/>
        <v>8.3333333333333329E-2</v>
      </c>
      <c r="D111" s="4">
        <v>0.2</v>
      </c>
    </row>
    <row r="112" spans="1:5" x14ac:dyDescent="0.35">
      <c r="A112" t="s">
        <v>535</v>
      </c>
      <c r="B112" s="4">
        <v>50</v>
      </c>
      <c r="C112" s="4">
        <f t="shared" si="25"/>
        <v>2.0833333333333335</v>
      </c>
      <c r="D112" s="4">
        <v>3</v>
      </c>
    </row>
    <row r="113" spans="1:7" x14ac:dyDescent="0.35">
      <c r="A113" t="s">
        <v>536</v>
      </c>
      <c r="B113" s="4">
        <v>2</v>
      </c>
      <c r="C113" s="4">
        <f t="shared" si="25"/>
        <v>8.3333333333333329E-2</v>
      </c>
      <c r="D113" s="4">
        <v>1.5</v>
      </c>
    </row>
    <row r="114" spans="1:7" x14ac:dyDescent="0.35">
      <c r="A114" t="s">
        <v>537</v>
      </c>
      <c r="B114" s="4">
        <v>2</v>
      </c>
      <c r="C114" s="4">
        <f t="shared" si="25"/>
        <v>8.3333333333333329E-2</v>
      </c>
      <c r="D114" s="4">
        <v>1.5</v>
      </c>
    </row>
    <row r="115" spans="1:7" x14ac:dyDescent="0.35">
      <c r="A115" t="s">
        <v>538</v>
      </c>
      <c r="B115" s="4">
        <v>18</v>
      </c>
      <c r="C115" s="4">
        <f t="shared" si="25"/>
        <v>0.75</v>
      </c>
      <c r="D115" s="4">
        <v>1.5</v>
      </c>
    </row>
    <row r="116" spans="1:7" x14ac:dyDescent="0.35">
      <c r="A116" t="s">
        <v>539</v>
      </c>
      <c r="B116" s="4">
        <v>18</v>
      </c>
      <c r="C116" s="4">
        <f t="shared" si="25"/>
        <v>0.75</v>
      </c>
      <c r="D116" s="4">
        <v>1.5</v>
      </c>
    </row>
    <row r="117" spans="1:7" x14ac:dyDescent="0.35">
      <c r="A117" t="s">
        <v>540</v>
      </c>
      <c r="B117" s="4">
        <v>36</v>
      </c>
      <c r="C117" s="4">
        <f t="shared" si="25"/>
        <v>1.5</v>
      </c>
      <c r="D117" s="4">
        <v>3</v>
      </c>
    </row>
    <row r="118" spans="1:7" x14ac:dyDescent="0.35">
      <c r="B118" s="4"/>
      <c r="C118" s="4"/>
      <c r="D118" s="4"/>
    </row>
    <row r="119" spans="1:7" x14ac:dyDescent="0.35">
      <c r="A119" s="36" t="s">
        <v>541</v>
      </c>
      <c r="B119" s="173">
        <f>SUM(B18,B25,B32,B41,B52,B63,B73,B83,B91,B94,B97,B100,B105,B103)</f>
        <v>6640.5</v>
      </c>
      <c r="C119" s="173">
        <f>SUM(C18,C25,C32,C41,C52,C63,C73,C83,C91,C94,C97,C100,C105,C103)</f>
        <v>276.6875</v>
      </c>
      <c r="D119" s="173">
        <f>SUM(D18,D25,D32,D41,D52,D63,D73,D83,D91,D94,D97,D100,D105,D103)</f>
        <v>981.3900000000001</v>
      </c>
      <c r="E119" s="4">
        <f>SUM(D119-C119)</f>
        <v>704.7025000000001</v>
      </c>
    </row>
    <row r="120" spans="1:7" x14ac:dyDescent="0.35">
      <c r="B120" s="4"/>
      <c r="C120" s="4"/>
      <c r="D120" s="4"/>
    </row>
    <row r="121" spans="1:7" x14ac:dyDescent="0.35">
      <c r="A121" s="226" t="s">
        <v>542</v>
      </c>
      <c r="B121" s="227">
        <f>SUM(B122:B135)</f>
        <v>3858</v>
      </c>
      <c r="C121" s="227">
        <f>SUM(C122:C135)</f>
        <v>160.75</v>
      </c>
      <c r="D121" s="228">
        <f>SUM(D122:D135)</f>
        <v>331.15</v>
      </c>
      <c r="G121" s="33">
        <f>C121*8.76</f>
        <v>1408.17</v>
      </c>
    </row>
    <row r="122" spans="1:7" x14ac:dyDescent="0.35">
      <c r="A122" s="229" t="s">
        <v>543</v>
      </c>
      <c r="B122" s="4">
        <v>243</v>
      </c>
      <c r="C122" s="4">
        <f>B122/24</f>
        <v>10.125</v>
      </c>
      <c r="D122" s="230">
        <v>19</v>
      </c>
    </row>
    <row r="123" spans="1:7" x14ac:dyDescent="0.35">
      <c r="A123" s="229" t="s">
        <v>544</v>
      </c>
      <c r="B123" s="4">
        <v>104</v>
      </c>
      <c r="C123" s="4">
        <f t="shared" ref="C123:C135" si="26">B123/24</f>
        <v>4.333333333333333</v>
      </c>
      <c r="D123" s="230">
        <v>9</v>
      </c>
    </row>
    <row r="124" spans="1:7" x14ac:dyDescent="0.35">
      <c r="A124" s="229" t="s">
        <v>545</v>
      </c>
      <c r="B124" s="4">
        <v>29</v>
      </c>
      <c r="C124" s="4">
        <f t="shared" si="26"/>
        <v>1.2083333333333333</v>
      </c>
      <c r="D124" s="230">
        <v>3.5</v>
      </c>
    </row>
    <row r="125" spans="1:7" x14ac:dyDescent="0.35">
      <c r="A125" s="229" t="s">
        <v>546</v>
      </c>
      <c r="B125" s="4">
        <v>33</v>
      </c>
      <c r="C125" s="4">
        <f t="shared" si="26"/>
        <v>1.375</v>
      </c>
      <c r="D125" s="230">
        <v>4</v>
      </c>
    </row>
    <row r="126" spans="1:7" x14ac:dyDescent="0.35">
      <c r="A126" s="229" t="s">
        <v>547</v>
      </c>
      <c r="B126" s="4">
        <v>1036</v>
      </c>
      <c r="C126" s="4">
        <f t="shared" si="26"/>
        <v>43.166666666666664</v>
      </c>
      <c r="D126" s="230">
        <v>90</v>
      </c>
    </row>
    <row r="127" spans="1:7" x14ac:dyDescent="0.35">
      <c r="A127" s="229" t="s">
        <v>548</v>
      </c>
      <c r="B127" s="4">
        <v>66</v>
      </c>
      <c r="C127" s="4">
        <f t="shared" si="26"/>
        <v>2.75</v>
      </c>
      <c r="D127" s="230">
        <v>8</v>
      </c>
    </row>
    <row r="128" spans="1:7" x14ac:dyDescent="0.35">
      <c r="A128" s="231" t="s">
        <v>549</v>
      </c>
      <c r="B128" s="223">
        <v>634</v>
      </c>
      <c r="C128" s="223">
        <f t="shared" si="26"/>
        <v>26.416666666666668</v>
      </c>
      <c r="D128" s="232">
        <v>65</v>
      </c>
    </row>
    <row r="129" spans="1:4" x14ac:dyDescent="0.35">
      <c r="A129" s="229" t="s">
        <v>550</v>
      </c>
      <c r="B129" s="4">
        <v>2</v>
      </c>
      <c r="C129" s="4">
        <f t="shared" si="26"/>
        <v>8.3333333333333329E-2</v>
      </c>
      <c r="D129" s="230">
        <v>2</v>
      </c>
    </row>
    <row r="130" spans="1:4" x14ac:dyDescent="0.35">
      <c r="A130" s="229" t="s">
        <v>551</v>
      </c>
      <c r="B130" s="4">
        <v>121</v>
      </c>
      <c r="C130" s="4">
        <f t="shared" si="26"/>
        <v>5.041666666666667</v>
      </c>
      <c r="D130" s="230">
        <v>9</v>
      </c>
    </row>
    <row r="131" spans="1:4" x14ac:dyDescent="0.35">
      <c r="A131" s="229" t="s">
        <v>552</v>
      </c>
      <c r="B131" s="4">
        <v>34</v>
      </c>
      <c r="C131" s="4">
        <f t="shared" si="26"/>
        <v>1.4166666666666667</v>
      </c>
      <c r="D131" s="230">
        <v>3.5</v>
      </c>
    </row>
    <row r="132" spans="1:4" x14ac:dyDescent="0.35">
      <c r="A132" s="231" t="s">
        <v>553</v>
      </c>
      <c r="B132" s="223">
        <v>38</v>
      </c>
      <c r="C132" s="223">
        <f t="shared" si="26"/>
        <v>1.5833333333333333</v>
      </c>
      <c r="D132" s="232">
        <v>4</v>
      </c>
    </row>
    <row r="133" spans="1:4" x14ac:dyDescent="0.35">
      <c r="A133" s="231" t="s">
        <v>554</v>
      </c>
      <c r="B133" s="223">
        <v>1477</v>
      </c>
      <c r="C133" s="223">
        <f t="shared" si="26"/>
        <v>61.541666666666664</v>
      </c>
      <c r="D133" s="232">
        <v>110</v>
      </c>
    </row>
    <row r="134" spans="1:4" x14ac:dyDescent="0.35">
      <c r="A134" s="231" t="s">
        <v>555</v>
      </c>
      <c r="B134" s="223">
        <v>38</v>
      </c>
      <c r="C134" s="223">
        <f t="shared" si="26"/>
        <v>1.5833333333333333</v>
      </c>
      <c r="D134" s="232">
        <v>4</v>
      </c>
    </row>
    <row r="135" spans="1:4" x14ac:dyDescent="0.35">
      <c r="A135" s="231" t="s">
        <v>556</v>
      </c>
      <c r="B135" s="223">
        <v>3</v>
      </c>
      <c r="C135" s="223">
        <f t="shared" si="26"/>
        <v>0.125</v>
      </c>
      <c r="D135" s="232">
        <v>0.15</v>
      </c>
    </row>
    <row r="136" spans="1:4" x14ac:dyDescent="0.35">
      <c r="A136" s="226" t="s">
        <v>557</v>
      </c>
      <c r="B136" s="227">
        <f>SUM(B137:B144)</f>
        <v>2147</v>
      </c>
      <c r="C136" s="227">
        <f t="shared" ref="C136:D136" si="27">SUM(C137:C144)</f>
        <v>89.458333333333329</v>
      </c>
      <c r="D136" s="228">
        <f t="shared" si="27"/>
        <v>200.5</v>
      </c>
    </row>
    <row r="137" spans="1:4" x14ac:dyDescent="0.35">
      <c r="A137" s="229" t="s">
        <v>543</v>
      </c>
      <c r="B137" s="4">
        <v>243</v>
      </c>
      <c r="C137" s="4">
        <f>B137/24</f>
        <v>10.125</v>
      </c>
      <c r="D137" s="230">
        <v>19</v>
      </c>
    </row>
    <row r="138" spans="1:4" x14ac:dyDescent="0.35">
      <c r="A138" s="229" t="s">
        <v>544</v>
      </c>
      <c r="B138" s="4">
        <v>104</v>
      </c>
      <c r="C138" s="4">
        <f t="shared" ref="C138:C144" si="28">B138/24</f>
        <v>4.333333333333333</v>
      </c>
      <c r="D138" s="230">
        <v>9</v>
      </c>
    </row>
    <row r="139" spans="1:4" x14ac:dyDescent="0.35">
      <c r="A139" s="229" t="s">
        <v>545</v>
      </c>
      <c r="B139" s="4">
        <v>29</v>
      </c>
      <c r="C139" s="4">
        <f t="shared" si="28"/>
        <v>1.2083333333333333</v>
      </c>
      <c r="D139" s="230">
        <v>3.5</v>
      </c>
    </row>
    <row r="140" spans="1:4" x14ac:dyDescent="0.35">
      <c r="A140" s="229" t="s">
        <v>546</v>
      </c>
      <c r="B140" s="4">
        <v>33</v>
      </c>
      <c r="C140" s="4">
        <f t="shared" si="28"/>
        <v>1.375</v>
      </c>
      <c r="D140" s="230">
        <v>4</v>
      </c>
    </row>
    <row r="141" spans="1:4" x14ac:dyDescent="0.35">
      <c r="A141" s="229" t="s">
        <v>547</v>
      </c>
      <c r="B141" s="4">
        <v>1036</v>
      </c>
      <c r="C141" s="4">
        <f t="shared" si="28"/>
        <v>43.166666666666664</v>
      </c>
      <c r="D141" s="230">
        <v>90</v>
      </c>
    </row>
    <row r="142" spans="1:4" x14ac:dyDescent="0.35">
      <c r="A142" s="229" t="s">
        <v>548</v>
      </c>
      <c r="B142" s="4">
        <v>66</v>
      </c>
      <c r="C142" s="4">
        <f t="shared" si="28"/>
        <v>2.75</v>
      </c>
      <c r="D142" s="230">
        <v>8</v>
      </c>
    </row>
    <row r="143" spans="1:4" x14ac:dyDescent="0.35">
      <c r="A143" s="229" t="s">
        <v>549</v>
      </c>
      <c r="B143" s="4">
        <v>634</v>
      </c>
      <c r="C143" s="4">
        <f t="shared" si="28"/>
        <v>26.416666666666668</v>
      </c>
      <c r="D143" s="230">
        <v>65</v>
      </c>
    </row>
    <row r="144" spans="1:4" x14ac:dyDescent="0.35">
      <c r="A144" s="229" t="s">
        <v>550</v>
      </c>
      <c r="B144" s="4">
        <v>2</v>
      </c>
      <c r="C144" s="4">
        <f t="shared" si="28"/>
        <v>8.3333333333333329E-2</v>
      </c>
      <c r="D144" s="230">
        <v>2</v>
      </c>
    </row>
    <row r="145" spans="1:7" ht="29" x14ac:dyDescent="0.35">
      <c r="A145" s="233" t="s">
        <v>558</v>
      </c>
      <c r="B145" s="227">
        <f>SUM(B146:B167)</f>
        <v>5177.3600000000006</v>
      </c>
      <c r="C145" s="227">
        <f>SUM(C146:C167)</f>
        <v>215.72333333333336</v>
      </c>
      <c r="D145" s="228">
        <f>SUM(D146:D167)</f>
        <v>430.79999999999995</v>
      </c>
      <c r="G145" s="33">
        <f>C145*8.76</f>
        <v>1889.7364000000002</v>
      </c>
    </row>
    <row r="146" spans="1:7" x14ac:dyDescent="0.35">
      <c r="A146" t="s">
        <v>559</v>
      </c>
      <c r="B146">
        <f>C146*24</f>
        <v>87.12</v>
      </c>
      <c r="C146">
        <f>D146*0.66</f>
        <v>3.6300000000000003</v>
      </c>
      <c r="D146" s="234">
        <v>5.5</v>
      </c>
      <c r="E146" t="s">
        <v>560</v>
      </c>
    </row>
    <row r="147" spans="1:7" x14ac:dyDescent="0.35">
      <c r="A147" t="s">
        <v>561</v>
      </c>
      <c r="B147">
        <f t="shared" ref="B147:B148" si="29">C147*24</f>
        <v>87.12</v>
      </c>
      <c r="C147">
        <f t="shared" ref="C147:C148" si="30">D147*0.66</f>
        <v>3.6300000000000003</v>
      </c>
      <c r="D147" s="234">
        <v>5.5</v>
      </c>
      <c r="E147">
        <f>0.3*2200</f>
        <v>660</v>
      </c>
    </row>
    <row r="148" spans="1:7" x14ac:dyDescent="0.35">
      <c r="A148" t="s">
        <v>562</v>
      </c>
      <c r="B148">
        <f t="shared" si="29"/>
        <v>87.12</v>
      </c>
      <c r="C148">
        <f t="shared" si="30"/>
        <v>3.6300000000000003</v>
      </c>
      <c r="D148" s="234">
        <v>5.5</v>
      </c>
    </row>
    <row r="149" spans="1:7" x14ac:dyDescent="0.35">
      <c r="A149" s="229" t="s">
        <v>543</v>
      </c>
      <c r="B149" s="4">
        <v>243</v>
      </c>
      <c r="C149" s="4">
        <f>B149/24</f>
        <v>10.125</v>
      </c>
      <c r="D149" s="230">
        <v>19</v>
      </c>
    </row>
    <row r="150" spans="1:7" x14ac:dyDescent="0.35">
      <c r="A150" s="229" t="s">
        <v>544</v>
      </c>
      <c r="B150" s="4">
        <v>104</v>
      </c>
      <c r="C150" s="4">
        <f t="shared" ref="C150:C167" si="31">B150/24</f>
        <v>4.333333333333333</v>
      </c>
      <c r="D150" s="230">
        <v>9</v>
      </c>
    </row>
    <row r="151" spans="1:7" x14ac:dyDescent="0.35">
      <c r="A151" s="229" t="s">
        <v>545</v>
      </c>
      <c r="B151" s="4">
        <v>29</v>
      </c>
      <c r="C151" s="4">
        <f t="shared" si="31"/>
        <v>1.2083333333333333</v>
      </c>
      <c r="D151" s="230">
        <v>3.5</v>
      </c>
    </row>
    <row r="152" spans="1:7" x14ac:dyDescent="0.35">
      <c r="A152" s="229" t="s">
        <v>546</v>
      </c>
      <c r="B152" s="4">
        <v>33</v>
      </c>
      <c r="C152" s="4">
        <f t="shared" si="31"/>
        <v>1.375</v>
      </c>
      <c r="D152" s="230">
        <v>4</v>
      </c>
    </row>
    <row r="153" spans="1:7" x14ac:dyDescent="0.35">
      <c r="A153" s="229" t="s">
        <v>547</v>
      </c>
      <c r="B153" s="4">
        <v>1036</v>
      </c>
      <c r="C153" s="4">
        <f t="shared" si="31"/>
        <v>43.166666666666664</v>
      </c>
      <c r="D153" s="230">
        <v>90</v>
      </c>
    </row>
    <row r="154" spans="1:7" x14ac:dyDescent="0.35">
      <c r="A154" s="229" t="s">
        <v>548</v>
      </c>
      <c r="B154" s="4">
        <v>66</v>
      </c>
      <c r="C154" s="4">
        <f t="shared" si="31"/>
        <v>2.75</v>
      </c>
      <c r="D154" s="230">
        <v>8</v>
      </c>
    </row>
    <row r="155" spans="1:7" x14ac:dyDescent="0.35">
      <c r="A155" s="229" t="s">
        <v>550</v>
      </c>
      <c r="B155" s="4">
        <v>2</v>
      </c>
      <c r="C155" s="4">
        <f t="shared" si="31"/>
        <v>8.3333333333333329E-2</v>
      </c>
      <c r="D155" s="230">
        <v>2</v>
      </c>
    </row>
    <row r="156" spans="1:7" x14ac:dyDescent="0.35">
      <c r="A156" s="229" t="s">
        <v>551</v>
      </c>
      <c r="B156" s="4">
        <v>121</v>
      </c>
      <c r="C156" s="4">
        <f t="shared" si="31"/>
        <v>5.041666666666667</v>
      </c>
      <c r="D156" s="230">
        <v>9</v>
      </c>
    </row>
    <row r="157" spans="1:7" x14ac:dyDescent="0.35">
      <c r="A157" s="229" t="s">
        <v>552</v>
      </c>
      <c r="B157" s="4">
        <v>34</v>
      </c>
      <c r="C157" s="4">
        <f t="shared" si="31"/>
        <v>1.4166666666666667</v>
      </c>
      <c r="D157" s="230">
        <v>3.5</v>
      </c>
    </row>
    <row r="158" spans="1:7" x14ac:dyDescent="0.35">
      <c r="A158" s="229" t="s">
        <v>553</v>
      </c>
      <c r="B158" s="4">
        <v>38</v>
      </c>
      <c r="C158" s="4">
        <f t="shared" si="31"/>
        <v>1.5833333333333333</v>
      </c>
      <c r="D158" s="230">
        <v>4</v>
      </c>
    </row>
    <row r="159" spans="1:7" x14ac:dyDescent="0.35">
      <c r="A159" s="229" t="s">
        <v>563</v>
      </c>
      <c r="B159" s="4">
        <v>1477</v>
      </c>
      <c r="C159" s="4">
        <f t="shared" si="31"/>
        <v>61.541666666666664</v>
      </c>
      <c r="D159" s="230">
        <v>110</v>
      </c>
    </row>
    <row r="160" spans="1:7" x14ac:dyDescent="0.35">
      <c r="A160" s="229" t="s">
        <v>555</v>
      </c>
      <c r="B160" s="4">
        <v>38</v>
      </c>
      <c r="C160" s="4">
        <f t="shared" si="31"/>
        <v>1.5833333333333333</v>
      </c>
      <c r="D160" s="230">
        <v>4</v>
      </c>
    </row>
    <row r="161" spans="1:7" x14ac:dyDescent="0.35">
      <c r="A161" s="229" t="s">
        <v>556</v>
      </c>
      <c r="B161" s="4">
        <v>3</v>
      </c>
      <c r="C161" s="4">
        <f t="shared" si="31"/>
        <v>0.125</v>
      </c>
      <c r="D161" s="230">
        <v>0.15</v>
      </c>
    </row>
    <row r="162" spans="1:7" x14ac:dyDescent="0.35">
      <c r="A162" s="229" t="s">
        <v>553</v>
      </c>
      <c r="B162" s="4">
        <v>38</v>
      </c>
      <c r="C162" s="4">
        <f t="shared" si="31"/>
        <v>1.5833333333333333</v>
      </c>
      <c r="D162" s="230">
        <v>4</v>
      </c>
    </row>
    <row r="163" spans="1:7" x14ac:dyDescent="0.35">
      <c r="A163" s="229" t="s">
        <v>554</v>
      </c>
      <c r="B163" s="4">
        <v>1477</v>
      </c>
      <c r="C163" s="4">
        <f t="shared" si="31"/>
        <v>61.541666666666664</v>
      </c>
      <c r="D163" s="230">
        <v>110</v>
      </c>
    </row>
    <row r="164" spans="1:7" x14ac:dyDescent="0.35">
      <c r="A164" s="229" t="s">
        <v>555</v>
      </c>
      <c r="B164" s="4">
        <v>38</v>
      </c>
      <c r="C164" s="4">
        <f t="shared" si="31"/>
        <v>1.5833333333333333</v>
      </c>
      <c r="D164" s="230">
        <v>4</v>
      </c>
    </row>
    <row r="165" spans="1:7" x14ac:dyDescent="0.35">
      <c r="A165" s="229" t="s">
        <v>556</v>
      </c>
      <c r="B165" s="4">
        <v>3</v>
      </c>
      <c r="C165" s="4">
        <f t="shared" si="31"/>
        <v>0.125</v>
      </c>
      <c r="D165" s="230">
        <v>0.15</v>
      </c>
    </row>
    <row r="166" spans="1:7" x14ac:dyDescent="0.35">
      <c r="A166" s="229" t="s">
        <v>483</v>
      </c>
      <c r="B166">
        <v>68</v>
      </c>
      <c r="C166" s="4">
        <f t="shared" si="31"/>
        <v>2.8333333333333335</v>
      </c>
      <c r="D166" s="234">
        <v>15</v>
      </c>
    </row>
    <row r="167" spans="1:7" x14ac:dyDescent="0.35">
      <c r="A167" s="235" t="s">
        <v>483</v>
      </c>
      <c r="B167" s="236">
        <v>68</v>
      </c>
      <c r="C167" s="237">
        <f t="shared" si="31"/>
        <v>2.8333333333333335</v>
      </c>
      <c r="D167" s="238">
        <v>15</v>
      </c>
    </row>
    <row r="169" spans="1:7" x14ac:dyDescent="0.35">
      <c r="A169" s="239" t="s">
        <v>421</v>
      </c>
      <c r="B169" s="240">
        <f>C169*24</f>
        <v>5736</v>
      </c>
      <c r="C169" s="240">
        <v>239</v>
      </c>
      <c r="D169" s="241">
        <f>250+2.9+2.2+1.8+2.1+0.1+1+1.8+10+1+10+22</f>
        <v>304.90000000000003</v>
      </c>
      <c r="E169">
        <f>C177*24</f>
        <v>43833.86</v>
      </c>
      <c r="G169" s="33">
        <f>C169*8.76</f>
        <v>2093.64</v>
      </c>
    </row>
    <row r="170" spans="1:7" x14ac:dyDescent="0.35">
      <c r="A170" s="229" t="s">
        <v>147</v>
      </c>
      <c r="B170" s="156">
        <f>C170*24</f>
        <v>15720</v>
      </c>
      <c r="C170" s="156">
        <v>655</v>
      </c>
      <c r="D170" s="242">
        <v>924</v>
      </c>
      <c r="G170" s="33">
        <f>C170*8.76</f>
        <v>5737.8</v>
      </c>
    </row>
    <row r="171" spans="1:7" x14ac:dyDescent="0.35">
      <c r="A171" s="229" t="s">
        <v>422</v>
      </c>
      <c r="B171" s="156">
        <f>C171*24</f>
        <v>10560</v>
      </c>
      <c r="C171" s="156">
        <v>440</v>
      </c>
      <c r="D171" s="242">
        <f>220*2</f>
        <v>440</v>
      </c>
      <c r="E171" s="4">
        <f>2134-C177</f>
        <v>307.58916666666664</v>
      </c>
      <c r="G171" s="33">
        <f>C171*8.76</f>
        <v>3854.4</v>
      </c>
    </row>
    <row r="172" spans="1:7" x14ac:dyDescent="0.35">
      <c r="A172" t="s">
        <v>564</v>
      </c>
      <c r="C172" s="4">
        <f>C173+C145</f>
        <v>1549.7233333333334</v>
      </c>
      <c r="D172" s="234"/>
    </row>
    <row r="173" spans="1:7" x14ac:dyDescent="0.35">
      <c r="A173" s="243" t="s">
        <v>423</v>
      </c>
      <c r="B173" s="237">
        <f>SUM(B169:B171)</f>
        <v>32016</v>
      </c>
      <c r="C173" s="237">
        <f>SUM(C169:C171)</f>
        <v>1334</v>
      </c>
      <c r="D173" s="244">
        <f>SUM(D169:D171)</f>
        <v>1668.9</v>
      </c>
    </row>
    <row r="177" spans="1:4" x14ac:dyDescent="0.35">
      <c r="A177" s="213" t="s">
        <v>565</v>
      </c>
      <c r="B177" s="245">
        <f>B119+B121+B173</f>
        <v>42514.5</v>
      </c>
      <c r="C177" s="245">
        <f>C119+C145+C173</f>
        <v>1826.4108333333334</v>
      </c>
      <c r="D177" s="245">
        <f>D119+D121+D173</f>
        <v>2981.44</v>
      </c>
    </row>
    <row r="178" spans="1:4" x14ac:dyDescent="0.35">
      <c r="A178" s="213" t="s">
        <v>566</v>
      </c>
      <c r="B178" s="213"/>
      <c r="C178" s="246">
        <v>500</v>
      </c>
      <c r="D178" s="213"/>
    </row>
    <row r="179" spans="1:4" x14ac:dyDescent="0.35">
      <c r="A179" s="213" t="s">
        <v>567</v>
      </c>
      <c r="B179" s="213"/>
      <c r="C179" s="213">
        <v>1200</v>
      </c>
      <c r="D179" s="213"/>
    </row>
    <row r="180" spans="1:4" x14ac:dyDescent="0.35">
      <c r="A180" s="213" t="s">
        <v>48</v>
      </c>
      <c r="B180" s="213"/>
      <c r="C180" s="213">
        <v>700</v>
      </c>
      <c r="D180" s="213"/>
    </row>
    <row r="181" spans="1:4" x14ac:dyDescent="0.35">
      <c r="A181" s="213" t="s">
        <v>568</v>
      </c>
      <c r="B181" s="213"/>
      <c r="C181" s="245">
        <f>D177-D183</f>
        <v>581.44000000000005</v>
      </c>
      <c r="D181" s="213"/>
    </row>
    <row r="183" spans="1:4" x14ac:dyDescent="0.35">
      <c r="A183" t="s">
        <v>569</v>
      </c>
      <c r="D183" s="4">
        <f>C180+C179+C178</f>
        <v>2400</v>
      </c>
    </row>
    <row r="185" spans="1:4" x14ac:dyDescent="0.35">
      <c r="A185" t="s">
        <v>570</v>
      </c>
      <c r="B185">
        <v>2220</v>
      </c>
      <c r="C185">
        <f>B186*0.56</f>
        <v>1103.2</v>
      </c>
      <c r="D185">
        <f>C185*12</f>
        <v>13238.400000000001</v>
      </c>
    </row>
    <row r="186" spans="1:4" x14ac:dyDescent="0.35">
      <c r="A186" t="s">
        <v>571</v>
      </c>
      <c r="B186">
        <f>B185-(C178/2)</f>
        <v>1970</v>
      </c>
    </row>
    <row r="188" spans="1:4" x14ac:dyDescent="0.35">
      <c r="C188">
        <f>C177*8760/1000</f>
        <v>15999.358900000001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363e63-ceb8-4c10-bae5-ce64cd04a90f" xsi:nil="true"/>
    <lcf76f155ced4ddcb4097134ff3c332f xmlns="1f16aa3e-b07f-43d5-adb6-431209209791">
      <Terms xmlns="http://schemas.microsoft.com/office/infopath/2007/PartnerControls"/>
    </lcf76f155ced4ddcb4097134ff3c332f>
    <SharedWithUsers xmlns="ae363e63-ceb8-4c10-bae5-ce64cd04a90f">
      <UserInfo>
        <DisplayName>Charlie Lywood</DisplayName>
        <AccountId>157</AccountId>
        <AccountType/>
      </UserInfo>
      <UserInfo>
        <DisplayName>Daniel Lambert</DisplayName>
        <AccountId>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4727536918804DB307EED4DC9C9D14" ma:contentTypeVersion="15" ma:contentTypeDescription="Create a new document." ma:contentTypeScope="" ma:versionID="4b1de4ed9d980ed031e30c338db4aefb">
  <xsd:schema xmlns:xsd="http://www.w3.org/2001/XMLSchema" xmlns:xs="http://www.w3.org/2001/XMLSchema" xmlns:p="http://schemas.microsoft.com/office/2006/metadata/properties" xmlns:ns2="1f16aa3e-b07f-43d5-adb6-431209209791" xmlns:ns3="ae363e63-ceb8-4c10-bae5-ce64cd04a90f" targetNamespace="http://schemas.microsoft.com/office/2006/metadata/properties" ma:root="true" ma:fieldsID="2dad04bbb0937f85818819e878ab50b7" ns2:_="" ns3:_="">
    <xsd:import namespace="1f16aa3e-b07f-43d5-adb6-431209209791"/>
    <xsd:import namespace="ae363e63-ceb8-4c10-bae5-ce64cd04a9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16aa3e-b07f-43d5-adb6-4312092097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1aecbcb-0abe-4e13-b14b-d24bfd87296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363e63-ceb8-4c10-bae5-ce64cd04a90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bb983c9-3992-409b-8219-9d0ed3b06791}" ma:internalName="TaxCatchAll" ma:showField="CatchAllData" ma:web="ae363e63-ceb8-4c10-bae5-ce64cd04a9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F8DCD4-D0BC-4CC4-98DB-2E79EB79C14B}">
  <ds:schemaRefs>
    <ds:schemaRef ds:uri="http://purl.org/dc/dcmitype/"/>
    <ds:schemaRef ds:uri="9401fbd5-86d2-4fd1-b75e-0ae07c507934"/>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4c04b86f-1301-4194-b26d-31d605d68e54"/>
    <ds:schemaRef ds:uri="http://purl.org/dc/terms/"/>
  </ds:schemaRefs>
</ds:datastoreItem>
</file>

<file path=customXml/itemProps2.xml><?xml version="1.0" encoding="utf-8"?>
<ds:datastoreItem xmlns:ds="http://schemas.openxmlformats.org/officeDocument/2006/customXml" ds:itemID="{26814A75-6F45-41F5-8065-8E95485D103F}">
  <ds:schemaRefs>
    <ds:schemaRef ds:uri="http://schemas.microsoft.com/sharepoint/v3/contenttype/forms"/>
  </ds:schemaRefs>
</ds:datastoreItem>
</file>

<file path=customXml/itemProps3.xml><?xml version="1.0" encoding="utf-8"?>
<ds:datastoreItem xmlns:ds="http://schemas.openxmlformats.org/officeDocument/2006/customXml" ds:itemID="{C86987EA-78D9-44C8-889A-889652584121}"/>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12</vt:i4>
      </vt:variant>
    </vt:vector>
  </HeadingPairs>
  <TitlesOfParts>
    <vt:vector size="12" baseType="lpstr">
      <vt:lpstr>Summary</vt:lpstr>
      <vt:lpstr>Feed + carbon calculator</vt:lpstr>
      <vt:lpstr>Energy centre</vt:lpstr>
      <vt:lpstr>Power requirements</vt:lpstr>
      <vt:lpstr>Transport</vt:lpstr>
      <vt:lpstr>Transport SFLD2</vt:lpstr>
      <vt:lpstr>EnergyConversions</vt:lpstr>
      <vt:lpstr>GHG_Emissions</vt:lpstr>
      <vt:lpstr>GHG_Conversions</vt:lpstr>
      <vt:lpstr>CHP</vt:lpstr>
      <vt:lpstr>Inputs</vt:lpstr>
      <vt:lpstr>Agraferm</vt:lpstr>
    </vt:vector>
  </TitlesOfParts>
  <Manager>daniel.lambert@acornbioenergy.com</Manager>
  <Company>Acorn Bioenergy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Lambert</dc:creator>
  <cp:keywords/>
  <dc:description/>
  <cp:lastModifiedBy>Jose Batista</cp:lastModifiedBy>
  <cp:revision/>
  <cp:lastPrinted>2024-03-22T10:45:38Z</cp:lastPrinted>
  <dcterms:created xsi:type="dcterms:W3CDTF">2022-07-15T13:52:35Z</dcterms:created>
  <dcterms:modified xsi:type="dcterms:W3CDTF">2025-05-12T09:31:59Z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0x010100964727536918804DB307EED4DC9C9D14</vt:lpwstr>
  </property>
  <property fmtid="{D5CDD505-2E9C-101B-9397-08002B2CF9AE}" pid="3" name="MediaServiceImageTags">
    <vt:lpwstr/>
  </property>
  <property fmtid="{D5CDD505-2E9C-101B-9397-08002B2CF9AE}" pid="4" name="elec" linkTarget="prop_elec">
    <vt:lpwstr>#REF!</vt:lpwstr>
  </property>
  <property fmtid="{D5CDD505-2E9C-101B-9397-08002B2CF9AE}" pid="5" name="price" linkTarget="Prop_price">
    <vt:lpwstr>#REF!</vt:lpwstr>
  </property>
  <property fmtid="{D5CDD505-2E9C-101B-9397-08002B2CF9AE}" pid="6" name="Order">
    <vt:r8>32302100</vt:r8>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