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updateLinks="never" defaultThemeVersion="166925"/>
  <mc:AlternateContent xmlns:mc="http://schemas.openxmlformats.org/markup-compatibility/2006">
    <mc:Choice Requires="x15">
      <x15ac:absPath xmlns:x15ac="http://schemas.microsoft.com/office/spreadsheetml/2010/11/ac" url="https://wiltshirecouncil-my.sharepoint.com/personal/karen_arts_wiltshire_gov_uk/Documents/"/>
    </mc:Choice>
  </mc:AlternateContent>
  <xr:revisionPtr revIDLastSave="0" documentId="8_{B93606DD-7893-43B8-90DE-35CD61B53633}"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1560" yWindow="1560" windowWidth="21600" windowHeight="11295"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C11" i="8" s="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<sst xmlns="http://schemas.openxmlformats.org/spreadsheetml/2006/main" count="1111" uniqueCount="419">
  <si>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</si>
  <si>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</si>
  <si>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</si>
  <si>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</si>
  <si>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</si>
  <si>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</si>
  <si>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</si>
  <si>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</si>
  <si>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</si>
  <si>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</si>
  <si>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</si>
  <si>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</si>
  <si>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</si>
  <si>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</si>
  <si>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</si>
  <si>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</si>
  <si>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</si>
  <si>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</si>
  <si>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</si>
  <si>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</si>
  <si>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</si>
  <si>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</si>
  <si>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</si>
  <si>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</si>
  <si>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</si>
  <si>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</si>
  <si>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</si>
  <si>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</si>
  <si>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</si>
  <si>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</si>
  <si>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</si>
  <si>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</si>
  <si>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</si>
  <si>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</si>
  <si>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</si>
  <si>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</si>
  <si>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</si>
  <si>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</si>
  <si>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</si>
  <si>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</si>
  <si>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</si>
  <si>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</si>
  <si>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</si>
  <si>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</si>
  <si>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</si>
  <si>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</si>
  <si>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</si>
  <si>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</si>
  <si>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</si>
  <si>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</si>
  <si>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</si>
  <si>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</si>
  <si>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</si>
  <si>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</si>
  <si>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</si>
  <si>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</si>
  <si>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</si>
  <si>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</si>
  <si>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</si>
  <si>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</si>
  <si>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</si>
  <si>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</si>
  <si>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</si>
  <si>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</si>
  <si>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</si>
  <si>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</si>
  <si>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</si>
  <si>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</si>
  <si>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</si>
  <si>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</si>
  <si>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</si>
  <si>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</si>
  <si>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</si>
  <si>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</si>
  <si>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</si>
  <si>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</si>
  <si>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</si>
  <si>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</si>
  <si>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</si>
  <si>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</si>
  <si>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</si>
  <si>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</si>
  <si>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</si>
  <si>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</si>
  <si>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</si>
  <si>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</si>
  <si>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</si>
  <si>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</si>
  <si>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</si>
  <si>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</si>
  <si>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</si>
  <si>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</si>
  <si>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</si>
  <si>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</si>
  <si>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</si>
  <si>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</si>
  <si>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</si>
  <si>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</si>
  <si>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</si>
  <si>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</si>
  <si>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</si>
  <si>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</si>
  <si>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</si>
  <si>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</si>
  <si>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</si>
  <si>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</si>
  <si>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</si>
  <si>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</si>
  <si>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</si>
  <si>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</si>
  <si>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</si>
  <si>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</si>
  <si>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</si>
  <si>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</si>
  <si>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</si>
  <si>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</si>
  <si>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</si>
  <si>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</si>
  <si>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</si>
  <si>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</si>
  <si>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</si>
  <si>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</si>
  <si>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</si>
  <si>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</si>
  <si>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</si>
  <si>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</si>
  <si>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</si>
  <si>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</si>
  <si>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</si>
  <si>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</si>
  <si>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</si>
  <si>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</si>
  <si>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</si>
  <si>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</si>
  <si>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</si>
  <si>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</si>
  <si>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</si>
  <si>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</si>
  <si>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</si>
  <si>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</si>
  <si>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</si>
  <si>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</si>
  <si>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</si>
  <si>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</si>
  <si>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</si>
  <si>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</si>
  <si>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</si>
  <si>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</si>
  <si>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</si>
  <si>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</si>
  <si>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</si>
  <si>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</si>
  <si>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</si>
  <si>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</si>
  <si>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</si>
  <si>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</si>
  <si>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</si>
  <si>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</si>
  <si>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</si>
  <si>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</si>
  <si>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</si>
  <si>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</si>
  <si>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</si>
  <si>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</si>
  <si>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</si>
  <si>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</si>
  <si>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</si>
  <si>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</si>
  <si>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</si>
  <si>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</si>
  <si>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</si>
  <si>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</si>
  <si>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</si>
  <si>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</si>
  <si>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</si>
  <si>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</si>
  <si>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</si>
  <si>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</si>
  <si>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</si>
  <si>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</si>
  <si>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</si>
  <si>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</si>
  <si>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</si>
  <si>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</si>
  <si>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</si>
  <si>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</si>
  <si>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</si>
  <si>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</si>
  <si>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</si>
  <si>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</si>
  <si>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</si>
  <si>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</si>
  <si>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</si>
  <si>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</si>
  <si>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</si>
  <si>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</si>
  <si>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</si>
  <si>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</si>
  <si>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</si>
  <si>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</si>
  <si>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</si>
  <si>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</si>
  <si>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</si>
  <si>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</si>
  <si>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</si>
  <si>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</si>
  <si>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</si>
  <si>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</si>
  <si>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</si>
  <si>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</si>
  <si>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</si>
  <si>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</si>
  <si>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</si>
  <si>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</si>
  <si>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</si>
  <si>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</si>
  <si>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</si>
  <si>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</si>
  <si>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</si>
  <si>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</si>
  <si>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</si>
  <si>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</si>
  <si>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</si>
  <si>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</si>
  <si>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</si>
  <si>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</si>
  <si>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</si>
  <si>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</si>
  <si>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</si>
  <si>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</si>
  <si>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</si>
  <si>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</si>
  <si>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</si>
  <si>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</si>
  <si>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</si>
  <si>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</si>
  <si>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</si>
  <si>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</si>
  <si>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</si>
  <si>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</si>
  <si>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</si>
  <si>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</si>
  <si>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</si>
  <si>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</si>
  <si>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</si>
  <si>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</si>
  <si>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</si>
  <si>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</si>
  <si>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</si>
  <si>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</si>
  <si>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</si>
  <si>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</si>
  <si>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</si>
  <si>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</si>
  <si>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</si>
  <si>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</si>
  <si>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</si>
  <si>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</si>
  <si>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</si>
  <si>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</si>
  <si>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</si>
  <si>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</si>
  <si>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</si>
  <si>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</si>
  <si>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</si>
  <si>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</si>
  <si>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</si>
  <si>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</si>
  <si>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</si>
  <si>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</si>
  <si>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</si>
  <si>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</si>
  <si>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</si>
  <si>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</si>
  <si>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</si>
  <si>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</si>
  <si>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</si>
  <si>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</si>
  <si>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</si>
  <si>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</si>
  <si>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</si>
  <si>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</si>
  <si>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</si>
  <si>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</si>
  <si>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</si>
  <si>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</si>
  <si>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</si>
  <si>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</si>
  <si>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</si>
  <si>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</si>
  <si>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</si>
  <si>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</si>
  <si>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</si>
  <si>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</si>
  <si>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</si>
  <si>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</si>
  <si>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</si>
  <si>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</si>
  <si>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</si>
  <si>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</si>
  <si>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</si>
  <si>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</si>
  <si>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</si>
  <si>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</si>
  <si>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</si>
  <si>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</si>
  <si>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</si>
  <si>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</si>
  <si>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</si>
  <si>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</si>
  <si>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</si>
  <si>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</si>
  <si>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</si>
  <si>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</si>
  <si>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</si>
  <si>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</si>
  <si>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</si>
  <si>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</si>
  <si>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</si>
  <si>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</si>
  <si>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</si>
  <si>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</si>
  <si>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</si>
  <si>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</si>
  <si>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</si>
  <si>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</si>
  <si>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</si>
  <si>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</si>
  <si>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</si>
  <si>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</si>
  <si>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</si>
  <si>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</si>
  <si>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</si>
  <si>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</si>
  <si>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</si>
  <si>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</si>
  <si>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</si>
  <si>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</si>
  <si>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</si>
  <si>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</si>
  <si>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</si>
  <si>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</si>
  <si>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</si>
  <si>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</si>
  <si>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</si>
  <si>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</si>
  <si>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</si>
  <si>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</si>
  <si>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</si>
  <si>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</si>
  <si>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</si>
  <si>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</si>
  <si>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</si>
  <si>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</si>
  <si>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</si>
  <si>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</si>
  <si>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</si>
  <si>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</si>
  <si>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</si>
  <si>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</si>
  <si>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</si>
  <si>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</si>
  <si>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</si>
  <si>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</si>
  <si>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</si>
  <si>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</si>
  <si>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</si>
  <si>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</si>
  <si>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</si>
  <si>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</si>
  <si>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</si>
  <si>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</si>
  <si>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</si>
  <si>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</si>
  <si>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</si>
  <si>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</si>
  <si>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</si>
  <si>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</si>
  <si>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</si>
  <si>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</si>
  <si>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</si>
  <si>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</si>
  <si>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</si>
  <si>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</si>
  <si>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</si>
  <si>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</si>
  <si>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</si>
  <si>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</si>
  <si>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</si>
  <si>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</si>
  <si>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</si>
  <si>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</si>
  <si>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</si>
  <si>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</si>
  <si>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</si>
  <si>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</si>
  <si>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</si>
  <si>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</si>
  <si>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</si>
  <si>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</si>
  <si>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</si>
  <si>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</si>
  <si>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</si>
  <si>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</si>
  <si>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</si>
  <si>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</si>
  <si>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</si>
  <si>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</si>
  <si>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</si>
  <si>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</si>
  <si>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</si>
  <si>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</si>
  <si>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</si>
  <si>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</si>
  <si>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</si>
  <si>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</si>
  <si>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</si>
  <si>
    <t>Plot Drainage and highways to infiltration basin</t>
  </si>
  <si>
    <t>Drain via infiltration to ground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</si>
</sst>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zoomScaleNormal="100" workbookViewId="0"/>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6" zoomScaleNormal="100" workbookViewId="0">
      <selection activeCell="A9" sqref="A9"/>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c r="C5" s="19"/>
    </row>
    <row r="6" spans="1:5" ht="24.6" customHeight="1" x14ac:dyDescent="0.25">
      <c r="A6" s="18" t="s">
        <v>69</v>
      </c>
      <c r="B6" s="30">
        <v>2.4</v>
      </c>
      <c r="C6" s="19"/>
    </row>
    <row r="7" spans="1:5" ht="24.6" customHeight="1" x14ac:dyDescent="0.25">
      <c r="A7" s="18" t="s">
        <v>70</v>
      </c>
      <c r="B7" s="31">
        <v>109</v>
      </c>
      <c r="C7" s="19"/>
    </row>
    <row r="8" spans="1:5" ht="24.6" customHeight="1" x14ac:dyDescent="0.25">
      <c r="A8" s="18" t="s">
        <v>71</v>
      </c>
      <c r="B8" s="31">
        <v>41</v>
      </c>
      <c r="C8" s="19"/>
    </row>
    <row r="9" spans="1:5" ht="39.6" customHeight="1" x14ac:dyDescent="0.25">
      <c r="A9" s="18" t="s">
        <v>72</v>
      </c>
      <c r="B9" s="31" t="s">
        <v>148</v>
      </c>
      <c r="C9" s="19"/>
    </row>
    <row r="10" spans="1:5" ht="24.6" customHeight="1" x14ac:dyDescent="0.2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5">
      <c r="A16" s="25" t="s">
        <v>78</v>
      </c>
      <c r="B16" s="115">
        <f>IF(ISBLANK(B8),0,B6*B8)</f>
        <v>98.399999999999991</v>
      </c>
    </row>
    <row r="17" spans="1:2" ht="23.25" customHeight="1" x14ac:dyDescent="0.25">
      <c r="A17" s="26" t="s">
        <v>79</v>
      </c>
      <c r="B17" s="42">
        <f>IFERROR(B16*B7,0)</f>
        <v>10725.599999999999</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0.88</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3.53</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4" zoomScaleNormal="100" workbookViewId="0">
      <selection activeCell="C6" sqref="C6"/>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t="s">
        <v>179</v>
      </c>
      <c r="C5" s="6"/>
      <c r="D5" s="6"/>
      <c r="E5" s="6"/>
      <c r="F5" s="39"/>
    </row>
    <row r="6" spans="1:6" ht="29.85" customHeight="1" x14ac:dyDescent="0.25">
      <c r="A6" s="18" t="s">
        <v>84</v>
      </c>
      <c r="B6" s="45" t="s">
        <v>398</v>
      </c>
      <c r="C6" s="6"/>
      <c r="D6" s="6"/>
      <c r="E6" s="6"/>
      <c r="F6" s="6"/>
    </row>
    <row r="7" spans="1:6" ht="29.85" customHeight="1" x14ac:dyDescent="0.25">
      <c r="A7" s="18" t="s">
        <v>85</v>
      </c>
      <c r="B7" s="46" t="s">
        <v>375</v>
      </c>
      <c r="C7" s="6"/>
      <c r="D7" s="6"/>
      <c r="E7" s="6"/>
      <c r="F7" s="6"/>
    </row>
    <row r="8" spans="1:6" ht="29.85" customHeight="1" x14ac:dyDescent="0.25">
      <c r="A8" s="21" t="s">
        <v>86</v>
      </c>
      <c r="B8" s="47" t="s">
        <v>408</v>
      </c>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t="s">
        <v>351</v>
      </c>
      <c r="B11" s="30">
        <v>0.13</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0.10821207797399995</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t="s">
        <v>344</v>
      </c>
      <c r="B12" s="30">
        <v>0.87</v>
      </c>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1.7399999999999999E-2</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1</v>
      </c>
      <c r="C28" s="42">
        <f>SUM(C11:C27)</f>
        <v>0.12561207797399995</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J4" sqref="J4"/>
    </sheetView>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t="s">
        <v>349</v>
      </c>
      <c r="B5" s="30">
        <v>0.83</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1.2875723823269993</v>
      </c>
    </row>
    <row r="6" spans="1:3" ht="23.25" customHeight="1" x14ac:dyDescent="0.2">
      <c r="A6" s="62" t="s">
        <v>348</v>
      </c>
      <c r="B6" s="63">
        <v>0.02</v>
      </c>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t="s">
        <v>351</v>
      </c>
      <c r="B7" s="63">
        <v>0.15</v>
      </c>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0.12486008996999994</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1</v>
      </c>
      <c r="C22" s="56">
        <f>SUM(C5:C21)</f>
        <v>1.4124324722969992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4" zoomScaleNormal="100" workbookViewId="0">
      <selection activeCell="E11" sqref="E11"/>
    </sheetView>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97</v>
      </c>
      <c r="B1" s="51"/>
      <c r="C1" s="51"/>
      <c r="D1" s="51"/>
    </row>
    <row r="2" spans="1:11" ht="409.6"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t="s">
        <v>349</v>
      </c>
      <c r="B5" s="30">
        <v>0.83</v>
      </c>
      <c r="C5" s="70">
        <v>100</v>
      </c>
      <c r="D5" s="50">
        <f>IFERROR(IF(ISBLANK(A5),0,IF(ISBLANK(B5),0,VLOOKUP(A5,Nutrients_from_future_land_use!$A$5:$C$21,3,FALSE)*(B5/VLOOKUP(A5,Nutrients_from_future_land_use!$A$5:$C$21,2,FALSE)))),0)</f>
        <v>1.2875723823269993</v>
      </c>
      <c r="E5" s="70" t="s">
        <v>417</v>
      </c>
      <c r="F5" s="70">
        <v>91</v>
      </c>
      <c r="G5" s="50">
        <f>IFERROR(IF(OR(ISBLANK($A5),ISBLANK($B5),ISBLANK($F5)),0,$C5/100*D5*F5/100),0)</f>
        <v>1.1716908679175695</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t="s">
        <v>351</v>
      </c>
      <c r="B6" s="63">
        <v>0.15</v>
      </c>
      <c r="C6" s="70">
        <v>100</v>
      </c>
      <c r="D6" s="50">
        <f>IFERROR(IF(ISBLANK(A6),0,IF(ISBLANK(B6),0,VLOOKUP(A6,Nutrients_from_future_land_use!$A$5:$C$21,3,FALSE)*(B6/VLOOKUP(A6,Nutrients_from_future_land_use!$A$5:$C$21,2,FALSE)))),0)</f>
        <v>0.12486008996999994</v>
      </c>
      <c r="E6" s="70" t="s">
        <v>418</v>
      </c>
      <c r="F6" s="70">
        <v>90</v>
      </c>
      <c r="G6" s="50">
        <f t="shared" ref="G6:G29" si="0">IFERROR(IF(OR(ISBLANK($A6),ISBLANK($B6),ISBLANK($F6)),0,$C6/100*D6*F6/100),0)</f>
        <v>0.11237408097299995</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0.98</v>
      </c>
      <c r="C30" s="71"/>
      <c r="D30" s="68">
        <f t="shared" ref="D30" si="1">SUM(D5:D29)</f>
        <v>1.4124324722969992</v>
      </c>
      <c r="E30" s="72"/>
      <c r="F30" s="72"/>
      <c r="G30" s="56">
        <f>SUM(G5:G29)</f>
        <v>1.2840649488905695</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0.88</v>
      </c>
    </row>
    <row r="6" spans="1:4" ht="24.75" customHeight="1" x14ac:dyDescent="0.25">
      <c r="A6" s="18" t="s">
        <v>111</v>
      </c>
      <c r="B6" s="78">
        <f>IFERROR(Nutrients_from_future_land_use!C22-SuDS!G30-Nutrients_from_current_land_use!C28,0)</f>
        <v>2.7554454324296984E-3</v>
      </c>
    </row>
    <row r="7" spans="1:4" ht="24.75" customHeight="1" x14ac:dyDescent="0.25">
      <c r="A7" s="18" t="s">
        <v>112</v>
      </c>
      <c r="B7" s="78">
        <f>IFERROR(B5+B6,0)</f>
        <v>0.88275544543242968</v>
      </c>
    </row>
    <row r="8" spans="1:4" ht="24.75" customHeight="1" x14ac:dyDescent="0.25">
      <c r="A8" s="18" t="s">
        <v>113</v>
      </c>
      <c r="B8" s="78">
        <f>IFERROR(IF(B7&lt;0,B7,B7*1.2),0)</f>
        <v>1.0593065345189157</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1.06</v>
      </c>
    </row>
    <row r="11" spans="1:4" ht="24.75" customHeight="1" x14ac:dyDescent="0.2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4.24</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2"/>
  <sheetViews>
    <sheetView topLeftCell="A26" zoomScaleNormal="100" workbookViewId="0">
      <selection activeCell="C37" sqref="C37"/>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0.25</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0.4</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0.5</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1</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3</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0.25</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4</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1.5512920268999992</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1.1350917269999994</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f>VLOOKUP(Nutrients_from_current_land_use!B7,Value_look_up_tables!A197:N219,11,FALSE)</f>
        <v>0.83240059979999959</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str" cm="1">
        <f t="array" ref="A280:A282">_xlfn._xlws.SORT(_xlfn.UNIQUE(_xlfn._xlws.FILTER(Nutrients_from_future_land_use!$A$5:$A$21,Nutrients_from_future_land_use!$A$5:$A$21&lt;&gt;"")))</f>
        <v>Open urban land</v>
      </c>
    </row>
    <row r="281" spans="1:1" x14ac:dyDescent="0.2">
      <c r="A281" s="88" t="str">
        <v>Residential urban land</v>
      </c>
    </row>
    <row r="282" spans="1:1" x14ac:dyDescent="0.2">
      <c r="A282" s="88" t="str">
        <v>Water</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2.xml>��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Patrick Taylor</dc:creator>
  <cp:keywords/>
  <dc:description/>
  <cp:lastModifiedBy>Arts, Karen</cp:lastModifiedBy>
  <cp:revision/>
  <dcterms:created xsi:type="dcterms:W3CDTF">2021-10-14T13:24:34Z</dcterms:created>
  <dcterms:modified xsi:type="dcterms:W3CDTF">2025-08-04T08:28:20Z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